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19200" windowHeight="6640" tabRatio="910" activeTab="4"/>
  </bookViews>
  <sheets>
    <sheet name="CHIFFRES LETTRE INFO" sheetId="50" r:id="rId1"/>
    <sheet name="0 BUDGETS 2425" sheetId="56" r:id="rId2"/>
    <sheet name="0B budget financier 2024" sheetId="62" r:id="rId3"/>
    <sheet name="Eau potable V1" sheetId="57" r:id="rId4"/>
    <sheet name="COMPTES FONCTIONNEMENT" sheetId="53" r:id="rId5"/>
    <sheet name="1 1 BILAN ECOSAN" sheetId="55" r:id="rId6"/>
    <sheet name="ECOSAN DEF" sheetId="54" r:id="rId7"/>
    <sheet name="1 BILAN PAR PROJET 2024" sheetId="58" r:id="rId8"/>
    <sheet name="2 CODIFICATION" sheetId="6" r:id="rId9"/>
    <sheet name="3 COMPTA" sheetId="5" r:id="rId10"/>
    <sheet name="RAPPRO" sheetId="51" r:id="rId11"/>
  </sheets>
  <externalReferences>
    <externalReference r:id="rId12"/>
    <externalReference r:id="rId13"/>
    <externalReference r:id="rId14"/>
  </externalReferences>
  <definedNames>
    <definedName name="_xlnm._FilterDatabase" localSheetId="9" hidden="1">'3 COMPTA'!$A$9:$T$949</definedName>
    <definedName name="_gjdgxs" localSheetId="9">'3 COMPTA'!$C$70</definedName>
    <definedName name="_xlnm.Print_Area" localSheetId="1">'0 BUDGETS 2425'!$I$1:$N$43</definedName>
    <definedName name="_xlnm.Print_Area" localSheetId="2">'0B budget financier 2024'!$A$1:$O$49</definedName>
    <definedName name="_xlnm.Print_Area" localSheetId="5">'1 1 BILAN ECOSAN'!$A$1:$O$22</definedName>
    <definedName name="_xlnm.Print_Area" localSheetId="7">'1 BILAN PAR PROJET 2024'!$A$1:$H$43</definedName>
    <definedName name="_xlnm.Print_Area" localSheetId="9">'3 COMPTA'!$C$4:$K$35</definedName>
    <definedName name="_xlnm.Print_Area" localSheetId="0">'CHIFFRES LETTRE INFO'!$I$7:$N$23</definedName>
    <definedName name="_xlnm.Print_Area" localSheetId="4">'COMPTES FONCTIONNEMENT'!$A$1:$J$61</definedName>
    <definedName name="_xlnm.Print_Area" localSheetId="10">RAPPRO!$A$89:$C$109</definedName>
  </definedNames>
  <calcPr calcId="162913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  <pivotCache cacheId="70" r:id="rId21"/>
    <pivotCache cacheId="91" r:id="rId22"/>
  </pivotCaches>
</workbook>
</file>

<file path=xl/calcChain.xml><?xml version="1.0" encoding="utf-8"?>
<calcChain xmlns="http://schemas.openxmlformats.org/spreadsheetml/2006/main">
  <c r="I48" i="53" l="1"/>
  <c r="H59" i="53"/>
  <c r="H61" i="53"/>
  <c r="G61" i="53"/>
  <c r="F61" i="53"/>
  <c r="E61" i="53"/>
  <c r="H51" i="53"/>
  <c r="I49" i="53"/>
  <c r="H49" i="53"/>
  <c r="G49" i="53"/>
  <c r="F49" i="53"/>
  <c r="E49" i="53"/>
  <c r="D49" i="53"/>
  <c r="H921" i="5"/>
  <c r="G947" i="5"/>
  <c r="E50" i="56"/>
  <c r="G46" i="56"/>
  <c r="G45" i="56"/>
  <c r="G44" i="56"/>
  <c r="G42" i="56"/>
  <c r="H35" i="57"/>
  <c r="G35" i="57"/>
  <c r="F34" i="56"/>
  <c r="E34" i="56"/>
  <c r="D34" i="56"/>
  <c r="G34" i="56" l="1"/>
  <c r="T866" i="5"/>
  <c r="S866" i="5"/>
  <c r="R866" i="5"/>
  <c r="Q866" i="5"/>
  <c r="P866" i="5"/>
  <c r="O866" i="5"/>
  <c r="L866" i="5"/>
  <c r="K866" i="5"/>
  <c r="M866" i="5" s="1"/>
  <c r="T867" i="5"/>
  <c r="S867" i="5"/>
  <c r="R867" i="5"/>
  <c r="Q867" i="5"/>
  <c r="P867" i="5"/>
  <c r="O867" i="5"/>
  <c r="L867" i="5"/>
  <c r="K867" i="5"/>
  <c r="M867" i="5" s="1"/>
  <c r="T868" i="5"/>
  <c r="S868" i="5"/>
  <c r="R868" i="5"/>
  <c r="Q868" i="5"/>
  <c r="P868" i="5"/>
  <c r="O868" i="5"/>
  <c r="L868" i="5"/>
  <c r="K868" i="5"/>
  <c r="M868" i="5" s="1"/>
  <c r="T870" i="5"/>
  <c r="S870" i="5"/>
  <c r="R870" i="5"/>
  <c r="Q870" i="5"/>
  <c r="P870" i="5"/>
  <c r="O870" i="5"/>
  <c r="L870" i="5"/>
  <c r="K870" i="5"/>
  <c r="M870" i="5" s="1"/>
  <c r="T869" i="5"/>
  <c r="S869" i="5"/>
  <c r="R869" i="5"/>
  <c r="Q869" i="5"/>
  <c r="P869" i="5"/>
  <c r="O869" i="5"/>
  <c r="L869" i="5"/>
  <c r="K869" i="5"/>
  <c r="M869" i="5" s="1"/>
  <c r="Q862" i="5"/>
  <c r="R862" i="5"/>
  <c r="S862" i="5"/>
  <c r="T862" i="5"/>
  <c r="Q863" i="5"/>
  <c r="R863" i="5"/>
  <c r="S863" i="5"/>
  <c r="T863" i="5"/>
  <c r="Q864" i="5"/>
  <c r="R864" i="5"/>
  <c r="S864" i="5"/>
  <c r="T864" i="5"/>
  <c r="Q865" i="5"/>
  <c r="R865" i="5"/>
  <c r="S865" i="5"/>
  <c r="T865" i="5"/>
  <c r="Q871" i="5"/>
  <c r="R871" i="5"/>
  <c r="S871" i="5"/>
  <c r="T871" i="5"/>
  <c r="Q872" i="5"/>
  <c r="R872" i="5"/>
  <c r="S872" i="5"/>
  <c r="T872" i="5"/>
  <c r="Q873" i="5"/>
  <c r="R873" i="5"/>
  <c r="S873" i="5"/>
  <c r="T873" i="5"/>
  <c r="Q874" i="5"/>
  <c r="R874" i="5"/>
  <c r="S874" i="5"/>
  <c r="T874" i="5"/>
  <c r="Q875" i="5"/>
  <c r="R875" i="5"/>
  <c r="S875" i="5"/>
  <c r="T875" i="5"/>
  <c r="Q876" i="5"/>
  <c r="R876" i="5"/>
  <c r="S876" i="5"/>
  <c r="T876" i="5"/>
  <c r="Q877" i="5"/>
  <c r="R877" i="5"/>
  <c r="S877" i="5"/>
  <c r="T877" i="5"/>
  <c r="Q878" i="5"/>
  <c r="R878" i="5"/>
  <c r="S878" i="5"/>
  <c r="T878" i="5"/>
  <c r="Q879" i="5"/>
  <c r="R879" i="5"/>
  <c r="S879" i="5"/>
  <c r="T879" i="5"/>
  <c r="Q880" i="5"/>
  <c r="R880" i="5"/>
  <c r="S880" i="5"/>
  <c r="T880" i="5"/>
  <c r="Q881" i="5"/>
  <c r="R881" i="5"/>
  <c r="S881" i="5"/>
  <c r="T881" i="5"/>
  <c r="Q882" i="5"/>
  <c r="R882" i="5"/>
  <c r="S882" i="5"/>
  <c r="T882" i="5"/>
  <c r="Q883" i="5"/>
  <c r="R883" i="5"/>
  <c r="S883" i="5"/>
  <c r="T883" i="5"/>
  <c r="Q884" i="5"/>
  <c r="R884" i="5"/>
  <c r="S884" i="5"/>
  <c r="T884" i="5"/>
  <c r="Q885" i="5"/>
  <c r="R885" i="5"/>
  <c r="S885" i="5"/>
  <c r="T885" i="5"/>
  <c r="Q886" i="5"/>
  <c r="R886" i="5"/>
  <c r="S886" i="5"/>
  <c r="T886" i="5"/>
  <c r="Q887" i="5"/>
  <c r="R887" i="5"/>
  <c r="S887" i="5"/>
  <c r="T887" i="5"/>
  <c r="Q888" i="5"/>
  <c r="R888" i="5"/>
  <c r="S888" i="5"/>
  <c r="T888" i="5"/>
  <c r="Q889" i="5"/>
  <c r="R889" i="5"/>
  <c r="S889" i="5"/>
  <c r="T889" i="5"/>
  <c r="Q890" i="5"/>
  <c r="R890" i="5"/>
  <c r="S890" i="5"/>
  <c r="T890" i="5"/>
  <c r="Q891" i="5"/>
  <c r="R891" i="5"/>
  <c r="S891" i="5"/>
  <c r="T891" i="5"/>
  <c r="Q892" i="5"/>
  <c r="R892" i="5"/>
  <c r="S892" i="5"/>
  <c r="T892" i="5"/>
  <c r="Q893" i="5"/>
  <c r="R893" i="5"/>
  <c r="S893" i="5"/>
  <c r="T893" i="5"/>
  <c r="Q894" i="5"/>
  <c r="R894" i="5"/>
  <c r="S894" i="5"/>
  <c r="T894" i="5"/>
  <c r="Q895" i="5"/>
  <c r="R895" i="5"/>
  <c r="S895" i="5"/>
  <c r="T895" i="5"/>
  <c r="Q896" i="5"/>
  <c r="R896" i="5"/>
  <c r="S896" i="5"/>
  <c r="T896" i="5"/>
  <c r="Q897" i="5"/>
  <c r="R897" i="5"/>
  <c r="S897" i="5"/>
  <c r="T897" i="5"/>
  <c r="Q898" i="5"/>
  <c r="R898" i="5"/>
  <c r="S898" i="5"/>
  <c r="T898" i="5"/>
  <c r="Q899" i="5"/>
  <c r="R899" i="5"/>
  <c r="S899" i="5"/>
  <c r="T899" i="5"/>
  <c r="Q900" i="5"/>
  <c r="R900" i="5"/>
  <c r="S900" i="5"/>
  <c r="T900" i="5"/>
  <c r="Q901" i="5"/>
  <c r="R901" i="5"/>
  <c r="S901" i="5"/>
  <c r="T901" i="5"/>
  <c r="Q902" i="5"/>
  <c r="R902" i="5"/>
  <c r="S902" i="5"/>
  <c r="T902" i="5"/>
  <c r="Q903" i="5"/>
  <c r="R903" i="5"/>
  <c r="S903" i="5"/>
  <c r="T903" i="5"/>
  <c r="Q904" i="5"/>
  <c r="R904" i="5"/>
  <c r="S904" i="5"/>
  <c r="T904" i="5"/>
  <c r="Q905" i="5"/>
  <c r="R905" i="5"/>
  <c r="S905" i="5"/>
  <c r="T905" i="5"/>
  <c r="Q906" i="5"/>
  <c r="R906" i="5"/>
  <c r="S906" i="5"/>
  <c r="T906" i="5"/>
  <c r="Q907" i="5"/>
  <c r="R907" i="5"/>
  <c r="S907" i="5"/>
  <c r="T907" i="5"/>
  <c r="Q908" i="5"/>
  <c r="R908" i="5"/>
  <c r="S908" i="5"/>
  <c r="T908" i="5"/>
  <c r="Q909" i="5"/>
  <c r="R909" i="5"/>
  <c r="S909" i="5"/>
  <c r="T909" i="5"/>
  <c r="Q910" i="5"/>
  <c r="R910" i="5"/>
  <c r="S910" i="5"/>
  <c r="T910" i="5"/>
  <c r="Q911" i="5"/>
  <c r="R911" i="5"/>
  <c r="S911" i="5"/>
  <c r="T911" i="5"/>
  <c r="Q912" i="5"/>
  <c r="R912" i="5"/>
  <c r="S912" i="5"/>
  <c r="T912" i="5"/>
  <c r="Q913" i="5"/>
  <c r="R913" i="5"/>
  <c r="S913" i="5"/>
  <c r="T913" i="5"/>
  <c r="Q914" i="5"/>
  <c r="R914" i="5"/>
  <c r="S914" i="5"/>
  <c r="T914" i="5"/>
  <c r="Q915" i="5"/>
  <c r="R915" i="5"/>
  <c r="S915" i="5"/>
  <c r="T915" i="5"/>
  <c r="Q916" i="5"/>
  <c r="R916" i="5"/>
  <c r="S916" i="5"/>
  <c r="T916" i="5"/>
  <c r="Q917" i="5"/>
  <c r="R917" i="5"/>
  <c r="S917" i="5"/>
  <c r="T917" i="5"/>
  <c r="Q918" i="5"/>
  <c r="R918" i="5"/>
  <c r="S918" i="5"/>
  <c r="T918" i="5"/>
  <c r="Q919" i="5"/>
  <c r="R919" i="5"/>
  <c r="S919" i="5"/>
  <c r="T919" i="5"/>
  <c r="Q920" i="5"/>
  <c r="R920" i="5"/>
  <c r="S920" i="5"/>
  <c r="T920" i="5"/>
  <c r="Q921" i="5"/>
  <c r="R921" i="5"/>
  <c r="S921" i="5"/>
  <c r="T921" i="5"/>
  <c r="Q922" i="5"/>
  <c r="R922" i="5"/>
  <c r="S922" i="5"/>
  <c r="T922" i="5"/>
  <c r="Q923" i="5"/>
  <c r="R923" i="5"/>
  <c r="S923" i="5"/>
  <c r="T923" i="5"/>
  <c r="Q924" i="5"/>
  <c r="R924" i="5"/>
  <c r="S924" i="5"/>
  <c r="T924" i="5"/>
  <c r="Q925" i="5"/>
  <c r="R925" i="5"/>
  <c r="S925" i="5"/>
  <c r="T925" i="5"/>
  <c r="Q926" i="5"/>
  <c r="R926" i="5"/>
  <c r="S926" i="5"/>
  <c r="T926" i="5"/>
  <c r="Q927" i="5"/>
  <c r="R927" i="5"/>
  <c r="S927" i="5"/>
  <c r="T927" i="5"/>
  <c r="Q928" i="5"/>
  <c r="R928" i="5"/>
  <c r="S928" i="5"/>
  <c r="T928" i="5"/>
  <c r="Q929" i="5"/>
  <c r="R929" i="5"/>
  <c r="S929" i="5"/>
  <c r="T929" i="5"/>
  <c r="Q930" i="5"/>
  <c r="R930" i="5"/>
  <c r="S930" i="5"/>
  <c r="T930" i="5"/>
  <c r="Q931" i="5"/>
  <c r="R931" i="5"/>
  <c r="S931" i="5"/>
  <c r="T931" i="5"/>
  <c r="Q932" i="5"/>
  <c r="R932" i="5"/>
  <c r="S932" i="5"/>
  <c r="T932" i="5"/>
  <c r="Q933" i="5"/>
  <c r="R933" i="5"/>
  <c r="S933" i="5"/>
  <c r="T933" i="5"/>
  <c r="Q934" i="5"/>
  <c r="R934" i="5"/>
  <c r="S934" i="5"/>
  <c r="T934" i="5"/>
  <c r="Q935" i="5"/>
  <c r="R935" i="5"/>
  <c r="S935" i="5"/>
  <c r="T935" i="5"/>
  <c r="Q936" i="5"/>
  <c r="R936" i="5"/>
  <c r="S936" i="5"/>
  <c r="T936" i="5"/>
  <c r="Q937" i="5"/>
  <c r="R937" i="5"/>
  <c r="S937" i="5"/>
  <c r="T937" i="5"/>
  <c r="Q938" i="5"/>
  <c r="R938" i="5"/>
  <c r="S938" i="5"/>
  <c r="T938" i="5"/>
  <c r="Q939" i="5"/>
  <c r="R939" i="5"/>
  <c r="S939" i="5"/>
  <c r="T939" i="5"/>
  <c r="Q940" i="5"/>
  <c r="R940" i="5"/>
  <c r="S940" i="5"/>
  <c r="T940" i="5"/>
  <c r="Q941" i="5"/>
  <c r="R941" i="5"/>
  <c r="S941" i="5"/>
  <c r="T941" i="5"/>
  <c r="Q942" i="5"/>
  <c r="R942" i="5"/>
  <c r="S942" i="5"/>
  <c r="T942" i="5"/>
  <c r="Q943" i="5"/>
  <c r="R943" i="5"/>
  <c r="S943" i="5"/>
  <c r="T943" i="5"/>
  <c r="Q944" i="5"/>
  <c r="R944" i="5"/>
  <c r="S944" i="5"/>
  <c r="T944" i="5"/>
  <c r="Q945" i="5"/>
  <c r="R945" i="5"/>
  <c r="S945" i="5"/>
  <c r="T945" i="5"/>
  <c r="Q946" i="5"/>
  <c r="R946" i="5"/>
  <c r="S946" i="5"/>
  <c r="T946" i="5"/>
  <c r="Q947" i="5"/>
  <c r="R947" i="5"/>
  <c r="S947" i="5"/>
  <c r="T947" i="5"/>
  <c r="Q948" i="5"/>
  <c r="R948" i="5"/>
  <c r="S948" i="5"/>
  <c r="T948" i="5"/>
  <c r="Q949" i="5"/>
  <c r="R949" i="5"/>
  <c r="S949" i="5"/>
  <c r="T949" i="5"/>
  <c r="O862" i="5"/>
  <c r="O863" i="5"/>
  <c r="O864" i="5"/>
  <c r="O865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K862" i="5"/>
  <c r="M862" i="5" s="1"/>
  <c r="L862" i="5"/>
  <c r="K863" i="5"/>
  <c r="M863" i="5" s="1"/>
  <c r="L863" i="5"/>
  <c r="K864" i="5"/>
  <c r="M864" i="5" s="1"/>
  <c r="L864" i="5"/>
  <c r="K865" i="5"/>
  <c r="M865" i="5" s="1"/>
  <c r="L865" i="5"/>
  <c r="K871" i="5"/>
  <c r="M871" i="5" s="1"/>
  <c r="L871" i="5"/>
  <c r="K872" i="5"/>
  <c r="M872" i="5" s="1"/>
  <c r="L872" i="5"/>
  <c r="K873" i="5"/>
  <c r="M873" i="5" s="1"/>
  <c r="L873" i="5"/>
  <c r="K874" i="5"/>
  <c r="M874" i="5" s="1"/>
  <c r="L874" i="5"/>
  <c r="K875" i="5"/>
  <c r="M875" i="5" s="1"/>
  <c r="L875" i="5"/>
  <c r="K876" i="5"/>
  <c r="M876" i="5" s="1"/>
  <c r="L876" i="5"/>
  <c r="K877" i="5"/>
  <c r="M877" i="5" s="1"/>
  <c r="L877" i="5"/>
  <c r="K878" i="5"/>
  <c r="M878" i="5" s="1"/>
  <c r="L878" i="5"/>
  <c r="K879" i="5"/>
  <c r="M879" i="5" s="1"/>
  <c r="L879" i="5"/>
  <c r="K880" i="5"/>
  <c r="M880" i="5" s="1"/>
  <c r="L880" i="5"/>
  <c r="K881" i="5"/>
  <c r="M881" i="5" s="1"/>
  <c r="L881" i="5"/>
  <c r="K882" i="5"/>
  <c r="M882" i="5" s="1"/>
  <c r="L882" i="5"/>
  <c r="K883" i="5"/>
  <c r="M883" i="5" s="1"/>
  <c r="L883" i="5"/>
  <c r="K884" i="5"/>
  <c r="M884" i="5" s="1"/>
  <c r="L884" i="5"/>
  <c r="K885" i="5"/>
  <c r="M885" i="5" s="1"/>
  <c r="L885" i="5"/>
  <c r="K886" i="5"/>
  <c r="M886" i="5" s="1"/>
  <c r="L886" i="5"/>
  <c r="K887" i="5"/>
  <c r="M887" i="5" s="1"/>
  <c r="L887" i="5"/>
  <c r="K888" i="5"/>
  <c r="M888" i="5" s="1"/>
  <c r="L888" i="5"/>
  <c r="K889" i="5"/>
  <c r="M889" i="5" s="1"/>
  <c r="L889" i="5"/>
  <c r="K890" i="5"/>
  <c r="M890" i="5" s="1"/>
  <c r="L890" i="5"/>
  <c r="K891" i="5"/>
  <c r="M891" i="5" s="1"/>
  <c r="L891" i="5"/>
  <c r="K892" i="5"/>
  <c r="M892" i="5" s="1"/>
  <c r="L892" i="5"/>
  <c r="K893" i="5"/>
  <c r="M893" i="5" s="1"/>
  <c r="L893" i="5"/>
  <c r="K894" i="5"/>
  <c r="M894" i="5" s="1"/>
  <c r="L894" i="5"/>
  <c r="K895" i="5"/>
  <c r="M895" i="5" s="1"/>
  <c r="L895" i="5"/>
  <c r="K896" i="5"/>
  <c r="M896" i="5" s="1"/>
  <c r="L896" i="5"/>
  <c r="K897" i="5"/>
  <c r="M897" i="5" s="1"/>
  <c r="L897" i="5"/>
  <c r="K898" i="5"/>
  <c r="M898" i="5" s="1"/>
  <c r="L898" i="5"/>
  <c r="K899" i="5"/>
  <c r="M899" i="5" s="1"/>
  <c r="L899" i="5"/>
  <c r="K900" i="5"/>
  <c r="M900" i="5" s="1"/>
  <c r="L900" i="5"/>
  <c r="K901" i="5"/>
  <c r="M901" i="5" s="1"/>
  <c r="L901" i="5"/>
  <c r="K902" i="5"/>
  <c r="M902" i="5" s="1"/>
  <c r="L902" i="5"/>
  <c r="K903" i="5"/>
  <c r="M903" i="5" s="1"/>
  <c r="L903" i="5"/>
  <c r="K904" i="5"/>
  <c r="M904" i="5" s="1"/>
  <c r="L904" i="5"/>
  <c r="K905" i="5"/>
  <c r="M905" i="5" s="1"/>
  <c r="L905" i="5"/>
  <c r="K906" i="5"/>
  <c r="M906" i="5" s="1"/>
  <c r="L906" i="5"/>
  <c r="K907" i="5"/>
  <c r="M907" i="5" s="1"/>
  <c r="L907" i="5"/>
  <c r="K908" i="5"/>
  <c r="M908" i="5" s="1"/>
  <c r="L908" i="5"/>
  <c r="K909" i="5"/>
  <c r="M909" i="5" s="1"/>
  <c r="L909" i="5"/>
  <c r="K910" i="5"/>
  <c r="M910" i="5" s="1"/>
  <c r="L910" i="5"/>
  <c r="K911" i="5"/>
  <c r="M911" i="5" s="1"/>
  <c r="L911" i="5"/>
  <c r="K912" i="5"/>
  <c r="M912" i="5" s="1"/>
  <c r="L912" i="5"/>
  <c r="K913" i="5"/>
  <c r="M913" i="5" s="1"/>
  <c r="L913" i="5"/>
  <c r="K914" i="5"/>
  <c r="M914" i="5" s="1"/>
  <c r="L914" i="5"/>
  <c r="K915" i="5"/>
  <c r="M915" i="5" s="1"/>
  <c r="L915" i="5"/>
  <c r="K916" i="5"/>
  <c r="M916" i="5" s="1"/>
  <c r="L916" i="5"/>
  <c r="K917" i="5"/>
  <c r="M917" i="5" s="1"/>
  <c r="L917" i="5"/>
  <c r="K918" i="5"/>
  <c r="M918" i="5" s="1"/>
  <c r="L918" i="5"/>
  <c r="K919" i="5"/>
  <c r="M919" i="5" s="1"/>
  <c r="L919" i="5"/>
  <c r="K920" i="5"/>
  <c r="M920" i="5" s="1"/>
  <c r="L920" i="5"/>
  <c r="K921" i="5"/>
  <c r="M921" i="5" s="1"/>
  <c r="L921" i="5"/>
  <c r="K922" i="5"/>
  <c r="M922" i="5" s="1"/>
  <c r="L922" i="5"/>
  <c r="K923" i="5"/>
  <c r="M923" i="5" s="1"/>
  <c r="L923" i="5"/>
  <c r="K924" i="5"/>
  <c r="M924" i="5" s="1"/>
  <c r="L924" i="5"/>
  <c r="K925" i="5"/>
  <c r="M925" i="5" s="1"/>
  <c r="L925" i="5"/>
  <c r="K926" i="5"/>
  <c r="M926" i="5" s="1"/>
  <c r="L926" i="5"/>
  <c r="K927" i="5"/>
  <c r="M927" i="5" s="1"/>
  <c r="L927" i="5"/>
  <c r="K928" i="5"/>
  <c r="M928" i="5" s="1"/>
  <c r="L928" i="5"/>
  <c r="K929" i="5"/>
  <c r="M929" i="5" s="1"/>
  <c r="L929" i="5"/>
  <c r="K930" i="5"/>
  <c r="M930" i="5" s="1"/>
  <c r="L930" i="5"/>
  <c r="K931" i="5"/>
  <c r="M931" i="5" s="1"/>
  <c r="L931" i="5"/>
  <c r="K932" i="5"/>
  <c r="M932" i="5" s="1"/>
  <c r="L932" i="5"/>
  <c r="K933" i="5"/>
  <c r="M933" i="5" s="1"/>
  <c r="L933" i="5"/>
  <c r="K934" i="5"/>
  <c r="M934" i="5" s="1"/>
  <c r="L934" i="5"/>
  <c r="K935" i="5"/>
  <c r="M935" i="5" s="1"/>
  <c r="L935" i="5"/>
  <c r="K936" i="5"/>
  <c r="M936" i="5" s="1"/>
  <c r="L936" i="5"/>
  <c r="K937" i="5"/>
  <c r="M937" i="5" s="1"/>
  <c r="L937" i="5"/>
  <c r="K938" i="5"/>
  <c r="M938" i="5" s="1"/>
  <c r="L938" i="5"/>
  <c r="K939" i="5"/>
  <c r="M939" i="5" s="1"/>
  <c r="L939" i="5"/>
  <c r="K940" i="5"/>
  <c r="M940" i="5" s="1"/>
  <c r="L940" i="5"/>
  <c r="K941" i="5"/>
  <c r="M941" i="5" s="1"/>
  <c r="L941" i="5"/>
  <c r="K942" i="5"/>
  <c r="M942" i="5" s="1"/>
  <c r="L942" i="5"/>
  <c r="K943" i="5"/>
  <c r="M943" i="5" s="1"/>
  <c r="L943" i="5"/>
  <c r="K944" i="5"/>
  <c r="M944" i="5" s="1"/>
  <c r="L944" i="5"/>
  <c r="K945" i="5"/>
  <c r="M945" i="5" s="1"/>
  <c r="L945" i="5"/>
  <c r="K946" i="5"/>
  <c r="M946" i="5" s="1"/>
  <c r="L946" i="5"/>
  <c r="K947" i="5"/>
  <c r="M947" i="5" s="1"/>
  <c r="L947" i="5"/>
  <c r="K948" i="5"/>
  <c r="M948" i="5" s="1"/>
  <c r="L948" i="5"/>
  <c r="K949" i="5"/>
  <c r="M949" i="5" s="1"/>
  <c r="L949" i="5"/>
  <c r="P864" i="5"/>
  <c r="P865" i="5"/>
  <c r="H39" i="56"/>
  <c r="F35" i="56"/>
  <c r="E35" i="56"/>
  <c r="E38" i="56" s="1"/>
  <c r="D35" i="56"/>
  <c r="G33" i="56"/>
  <c r="P863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862" i="5"/>
  <c r="D36" i="56" l="1"/>
  <c r="D38" i="56" s="1"/>
  <c r="G35" i="56"/>
  <c r="G38" i="56" s="1"/>
  <c r="D48" i="56" l="1"/>
  <c r="F36" i="56"/>
  <c r="M21" i="50"/>
  <c r="E55" i="58"/>
  <c r="G31" i="58"/>
  <c r="F31" i="58"/>
  <c r="E31" i="58"/>
  <c r="D31" i="58"/>
  <c r="T842" i="5"/>
  <c r="S842" i="5"/>
  <c r="R842" i="5"/>
  <c r="Q842" i="5"/>
  <c r="P842" i="5"/>
  <c r="O842" i="5"/>
  <c r="L842" i="5"/>
  <c r="K842" i="5"/>
  <c r="M842" i="5" s="1"/>
  <c r="K13" i="50"/>
  <c r="K12" i="50"/>
  <c r="L13" i="50"/>
  <c r="D50" i="56" l="1"/>
  <c r="F48" i="56"/>
  <c r="F50" i="56" s="1"/>
  <c r="F38" i="56"/>
  <c r="T831" i="5"/>
  <c r="S831" i="5"/>
  <c r="R831" i="5"/>
  <c r="Q831" i="5"/>
  <c r="P831" i="5"/>
  <c r="O831" i="5"/>
  <c r="L831" i="5"/>
  <c r="K831" i="5"/>
  <c r="M831" i="5" s="1"/>
  <c r="M12" i="50"/>
  <c r="F13" i="50"/>
  <c r="F21" i="50"/>
  <c r="F28" i="58"/>
  <c r="G48" i="56" l="1"/>
  <c r="G50" i="56" s="1"/>
  <c r="M27" i="50"/>
  <c r="M11" i="50"/>
  <c r="G20" i="50"/>
  <c r="D14" i="50"/>
  <c r="D17" i="50" s="1"/>
  <c r="E12" i="50"/>
  <c r="G12" i="50" s="1"/>
  <c r="E16" i="50"/>
  <c r="L21" i="50" s="1"/>
  <c r="F16" i="50"/>
  <c r="D16" i="50"/>
  <c r="M42" i="58"/>
  <c r="N42" i="58"/>
  <c r="L42" i="58"/>
  <c r="E41" i="58"/>
  <c r="G861" i="5"/>
  <c r="O861" i="5" s="1"/>
  <c r="E859" i="5"/>
  <c r="T861" i="5"/>
  <c r="S861" i="5"/>
  <c r="R861" i="5"/>
  <c r="Q861" i="5"/>
  <c r="P861" i="5"/>
  <c r="L861" i="5"/>
  <c r="K861" i="5"/>
  <c r="M861" i="5" s="1"/>
  <c r="T860" i="5"/>
  <c r="S860" i="5"/>
  <c r="R860" i="5"/>
  <c r="Q860" i="5"/>
  <c r="P860" i="5"/>
  <c r="O860" i="5"/>
  <c r="L860" i="5"/>
  <c r="K860" i="5"/>
  <c r="M860" i="5" s="1"/>
  <c r="T859" i="5"/>
  <c r="S859" i="5"/>
  <c r="R859" i="5"/>
  <c r="Q859" i="5"/>
  <c r="P859" i="5"/>
  <c r="O859" i="5"/>
  <c r="L859" i="5"/>
  <c r="K859" i="5"/>
  <c r="M859" i="5" s="1"/>
  <c r="T858" i="5"/>
  <c r="S858" i="5"/>
  <c r="R858" i="5"/>
  <c r="Q858" i="5"/>
  <c r="P858" i="5"/>
  <c r="O858" i="5"/>
  <c r="L858" i="5"/>
  <c r="K858" i="5"/>
  <c r="M858" i="5" s="1"/>
  <c r="D34" i="58"/>
  <c r="D36" i="58" s="1"/>
  <c r="E29" i="58"/>
  <c r="G33" i="58"/>
  <c r="O42" i="58" s="1"/>
  <c r="E54" i="58"/>
  <c r="H13" i="58"/>
  <c r="C132" i="51"/>
  <c r="E143" i="51"/>
  <c r="M13" i="50"/>
  <c r="G29" i="58" l="1"/>
  <c r="G16" i="50"/>
  <c r="E22" i="50"/>
  <c r="K21" i="50"/>
  <c r="F34" i="58"/>
  <c r="F36" i="58" s="1"/>
  <c r="K15" i="50"/>
  <c r="G13" i="50"/>
  <c r="G14" i="50" s="1"/>
  <c r="G17" i="50" s="1"/>
  <c r="F14" i="50"/>
  <c r="F17" i="50" s="1"/>
  <c r="E14" i="50"/>
  <c r="E17" i="50" s="1"/>
  <c r="D47" i="58"/>
  <c r="E39" i="58"/>
  <c r="G39" i="58" s="1"/>
  <c r="F45" i="58"/>
  <c r="G45" i="58" s="1"/>
  <c r="E34" i="58"/>
  <c r="E36" i="58" s="1"/>
  <c r="G28" i="58"/>
  <c r="L12" i="50"/>
  <c r="K18" i="50" l="1"/>
  <c r="K22" i="50" s="1"/>
  <c r="L15" i="50"/>
  <c r="G22" i="50"/>
  <c r="L26" i="50"/>
  <c r="N26" i="50" s="1"/>
  <c r="M15" i="50"/>
  <c r="F47" i="58"/>
  <c r="G34" i="58"/>
  <c r="G36" i="58" s="1"/>
  <c r="L18" i="50" l="1"/>
  <c r="L22" i="50" s="1"/>
  <c r="M18" i="50"/>
  <c r="M22" i="50" s="1"/>
  <c r="E44" i="58"/>
  <c r="E43" i="58"/>
  <c r="E42" i="58"/>
  <c r="E137" i="51"/>
  <c r="E139" i="51" s="1"/>
  <c r="E47" i="58" l="1"/>
  <c r="E134" i="51"/>
  <c r="C127" i="51"/>
  <c r="E21" i="50" s="1"/>
  <c r="G41" i="58"/>
  <c r="G42" i="58"/>
  <c r="G43" i="58"/>
  <c r="G44" i="58"/>
  <c r="G38" i="58"/>
  <c r="L27" i="50" l="1"/>
  <c r="N27" i="50" s="1"/>
  <c r="G21" i="50"/>
  <c r="G47" i="58"/>
  <c r="C134" i="51"/>
  <c r="K835" i="5"/>
  <c r="H8" i="5" l="1"/>
  <c r="T826" i="5"/>
  <c r="S826" i="5"/>
  <c r="R826" i="5"/>
  <c r="Q826" i="5"/>
  <c r="P826" i="5"/>
  <c r="O826" i="5"/>
  <c r="L826" i="5"/>
  <c r="K826" i="5"/>
  <c r="M826" i="5" s="1"/>
  <c r="T829" i="5"/>
  <c r="S829" i="5"/>
  <c r="R829" i="5"/>
  <c r="Q829" i="5"/>
  <c r="P829" i="5"/>
  <c r="O829" i="5"/>
  <c r="L829" i="5"/>
  <c r="K829" i="5"/>
  <c r="M829" i="5" s="1"/>
  <c r="T828" i="5"/>
  <c r="S828" i="5"/>
  <c r="R828" i="5"/>
  <c r="Q828" i="5"/>
  <c r="P828" i="5"/>
  <c r="O828" i="5"/>
  <c r="L828" i="5"/>
  <c r="K828" i="5"/>
  <c r="M828" i="5" s="1"/>
  <c r="T827" i="5"/>
  <c r="S827" i="5"/>
  <c r="R827" i="5"/>
  <c r="Q827" i="5"/>
  <c r="P827" i="5"/>
  <c r="O827" i="5"/>
  <c r="L827" i="5"/>
  <c r="K827" i="5"/>
  <c r="M827" i="5" s="1"/>
  <c r="T830" i="5"/>
  <c r="S830" i="5"/>
  <c r="R830" i="5"/>
  <c r="Q830" i="5"/>
  <c r="P830" i="5"/>
  <c r="O830" i="5"/>
  <c r="L830" i="5"/>
  <c r="K830" i="5"/>
  <c r="M830" i="5" s="1"/>
  <c r="T832" i="5"/>
  <c r="S832" i="5"/>
  <c r="R832" i="5"/>
  <c r="Q832" i="5"/>
  <c r="P832" i="5"/>
  <c r="O832" i="5"/>
  <c r="L832" i="5"/>
  <c r="K832" i="5"/>
  <c r="M832" i="5" s="1"/>
  <c r="T833" i="5"/>
  <c r="S833" i="5"/>
  <c r="R833" i="5"/>
  <c r="Q833" i="5"/>
  <c r="P833" i="5"/>
  <c r="O833" i="5"/>
  <c r="L833" i="5"/>
  <c r="K833" i="5"/>
  <c r="M833" i="5" s="1"/>
  <c r="T834" i="5"/>
  <c r="S834" i="5"/>
  <c r="R834" i="5"/>
  <c r="Q834" i="5"/>
  <c r="P834" i="5"/>
  <c r="O834" i="5"/>
  <c r="L834" i="5"/>
  <c r="K834" i="5"/>
  <c r="M834" i="5" s="1"/>
  <c r="T835" i="5"/>
  <c r="S835" i="5"/>
  <c r="R835" i="5"/>
  <c r="Q835" i="5"/>
  <c r="P835" i="5"/>
  <c r="O835" i="5"/>
  <c r="L835" i="5"/>
  <c r="M835" i="5"/>
  <c r="T836" i="5"/>
  <c r="S836" i="5"/>
  <c r="R836" i="5"/>
  <c r="Q836" i="5"/>
  <c r="P836" i="5"/>
  <c r="O836" i="5"/>
  <c r="L836" i="5"/>
  <c r="K836" i="5"/>
  <c r="M836" i="5" s="1"/>
  <c r="T837" i="5"/>
  <c r="S837" i="5"/>
  <c r="R837" i="5"/>
  <c r="Q837" i="5"/>
  <c r="P837" i="5"/>
  <c r="O837" i="5"/>
  <c r="L837" i="5"/>
  <c r="K837" i="5"/>
  <c r="M837" i="5" s="1"/>
  <c r="T838" i="5"/>
  <c r="S838" i="5"/>
  <c r="R838" i="5"/>
  <c r="Q838" i="5"/>
  <c r="P838" i="5"/>
  <c r="O838" i="5"/>
  <c r="L838" i="5"/>
  <c r="K838" i="5"/>
  <c r="M838" i="5" s="1"/>
  <c r="T839" i="5"/>
  <c r="S839" i="5"/>
  <c r="R839" i="5"/>
  <c r="Q839" i="5"/>
  <c r="P839" i="5"/>
  <c r="O839" i="5"/>
  <c r="L839" i="5"/>
  <c r="K839" i="5"/>
  <c r="M839" i="5" s="1"/>
  <c r="T840" i="5"/>
  <c r="S840" i="5"/>
  <c r="R840" i="5"/>
  <c r="Q840" i="5"/>
  <c r="P840" i="5"/>
  <c r="O840" i="5"/>
  <c r="L840" i="5"/>
  <c r="K840" i="5"/>
  <c r="M840" i="5" s="1"/>
  <c r="T843" i="5"/>
  <c r="S843" i="5"/>
  <c r="R843" i="5"/>
  <c r="Q843" i="5"/>
  <c r="P843" i="5"/>
  <c r="O843" i="5"/>
  <c r="L843" i="5"/>
  <c r="K843" i="5"/>
  <c r="M843" i="5" s="1"/>
  <c r="T841" i="5"/>
  <c r="S841" i="5"/>
  <c r="R841" i="5"/>
  <c r="Q841" i="5"/>
  <c r="P841" i="5"/>
  <c r="O841" i="5"/>
  <c r="L841" i="5"/>
  <c r="K841" i="5"/>
  <c r="M841" i="5" s="1"/>
  <c r="T844" i="5"/>
  <c r="S844" i="5"/>
  <c r="R844" i="5"/>
  <c r="Q844" i="5"/>
  <c r="P844" i="5"/>
  <c r="O844" i="5"/>
  <c r="L844" i="5"/>
  <c r="K844" i="5"/>
  <c r="M844" i="5" s="1"/>
  <c r="T845" i="5"/>
  <c r="S845" i="5"/>
  <c r="R845" i="5"/>
  <c r="Q845" i="5"/>
  <c r="P845" i="5"/>
  <c r="O845" i="5"/>
  <c r="L845" i="5"/>
  <c r="K845" i="5"/>
  <c r="M845" i="5" s="1"/>
  <c r="T847" i="5"/>
  <c r="S847" i="5"/>
  <c r="R847" i="5"/>
  <c r="Q847" i="5"/>
  <c r="P847" i="5"/>
  <c r="O847" i="5"/>
  <c r="L847" i="5"/>
  <c r="K847" i="5"/>
  <c r="M847" i="5" s="1"/>
  <c r="T846" i="5"/>
  <c r="S846" i="5"/>
  <c r="R846" i="5"/>
  <c r="Q846" i="5"/>
  <c r="P846" i="5"/>
  <c r="O846" i="5"/>
  <c r="L846" i="5"/>
  <c r="K846" i="5"/>
  <c r="M846" i="5" s="1"/>
  <c r="T848" i="5"/>
  <c r="S848" i="5"/>
  <c r="R848" i="5"/>
  <c r="Q848" i="5"/>
  <c r="P848" i="5"/>
  <c r="O848" i="5"/>
  <c r="L848" i="5"/>
  <c r="K848" i="5"/>
  <c r="M848" i="5" s="1"/>
  <c r="T850" i="5"/>
  <c r="S850" i="5"/>
  <c r="R850" i="5"/>
  <c r="Q850" i="5"/>
  <c r="P850" i="5"/>
  <c r="O850" i="5"/>
  <c r="L850" i="5"/>
  <c r="K850" i="5"/>
  <c r="M850" i="5" s="1"/>
  <c r="T849" i="5"/>
  <c r="S849" i="5"/>
  <c r="R849" i="5"/>
  <c r="Q849" i="5"/>
  <c r="P849" i="5"/>
  <c r="O849" i="5"/>
  <c r="L849" i="5"/>
  <c r="K849" i="5"/>
  <c r="M849" i="5" s="1"/>
  <c r="T853" i="5"/>
  <c r="S853" i="5"/>
  <c r="R853" i="5"/>
  <c r="Q853" i="5"/>
  <c r="P853" i="5"/>
  <c r="O853" i="5"/>
  <c r="L853" i="5"/>
  <c r="K853" i="5"/>
  <c r="M853" i="5" s="1"/>
  <c r="T852" i="5"/>
  <c r="S852" i="5"/>
  <c r="R852" i="5"/>
  <c r="Q852" i="5"/>
  <c r="P852" i="5"/>
  <c r="O852" i="5"/>
  <c r="L852" i="5"/>
  <c r="K852" i="5"/>
  <c r="M852" i="5" s="1"/>
  <c r="T851" i="5"/>
  <c r="S851" i="5"/>
  <c r="R851" i="5"/>
  <c r="Q851" i="5"/>
  <c r="P851" i="5"/>
  <c r="O851" i="5"/>
  <c r="L851" i="5"/>
  <c r="K851" i="5"/>
  <c r="M851" i="5" s="1"/>
  <c r="T854" i="5"/>
  <c r="S854" i="5"/>
  <c r="R854" i="5"/>
  <c r="Q854" i="5"/>
  <c r="P854" i="5"/>
  <c r="O854" i="5"/>
  <c r="L854" i="5"/>
  <c r="K854" i="5"/>
  <c r="M854" i="5" s="1"/>
  <c r="T855" i="5"/>
  <c r="S855" i="5"/>
  <c r="R855" i="5"/>
  <c r="Q855" i="5"/>
  <c r="P855" i="5"/>
  <c r="O855" i="5"/>
  <c r="L855" i="5"/>
  <c r="K855" i="5"/>
  <c r="M855" i="5" s="1"/>
  <c r="T856" i="5"/>
  <c r="S856" i="5"/>
  <c r="R856" i="5"/>
  <c r="Q856" i="5"/>
  <c r="P856" i="5"/>
  <c r="O856" i="5"/>
  <c r="L856" i="5"/>
  <c r="K856" i="5"/>
  <c r="M856" i="5" s="1"/>
  <c r="T857" i="5"/>
  <c r="S857" i="5"/>
  <c r="R857" i="5"/>
  <c r="Q857" i="5"/>
  <c r="P857" i="5"/>
  <c r="O857" i="5"/>
  <c r="L857" i="5"/>
  <c r="K857" i="5"/>
  <c r="M857" i="5" s="1"/>
  <c r="C122" i="51"/>
  <c r="C120" i="51"/>
  <c r="D63" i="51" l="1"/>
  <c r="C103" i="51" l="1"/>
  <c r="C98" i="51"/>
  <c r="H60" i="53" l="1"/>
  <c r="H58" i="53"/>
  <c r="O17" i="55"/>
  <c r="C96" i="51"/>
  <c r="C109" i="51" s="1"/>
  <c r="T823" i="5"/>
  <c r="S823" i="5"/>
  <c r="R823" i="5"/>
  <c r="Q823" i="5"/>
  <c r="P823" i="5"/>
  <c r="O823" i="5"/>
  <c r="L823" i="5"/>
  <c r="K823" i="5"/>
  <c r="M823" i="5" s="1"/>
  <c r="T822" i="5"/>
  <c r="S822" i="5"/>
  <c r="R822" i="5"/>
  <c r="Q822" i="5"/>
  <c r="P822" i="5"/>
  <c r="O822" i="5"/>
  <c r="L822" i="5"/>
  <c r="K822" i="5"/>
  <c r="M822" i="5" s="1"/>
  <c r="T821" i="5"/>
  <c r="S821" i="5"/>
  <c r="R821" i="5"/>
  <c r="Q821" i="5"/>
  <c r="P821" i="5"/>
  <c r="O821" i="5"/>
  <c r="L821" i="5"/>
  <c r="K821" i="5"/>
  <c r="M821" i="5" s="1"/>
  <c r="T820" i="5"/>
  <c r="S820" i="5"/>
  <c r="R820" i="5"/>
  <c r="Q820" i="5"/>
  <c r="P820" i="5"/>
  <c r="O820" i="5"/>
  <c r="L820" i="5"/>
  <c r="K820" i="5"/>
  <c r="M820" i="5" s="1"/>
  <c r="T824" i="5"/>
  <c r="S824" i="5"/>
  <c r="R824" i="5"/>
  <c r="Q824" i="5"/>
  <c r="P824" i="5"/>
  <c r="O824" i="5"/>
  <c r="L824" i="5"/>
  <c r="K824" i="5"/>
  <c r="M824" i="5" s="1"/>
  <c r="T825" i="5"/>
  <c r="S825" i="5"/>
  <c r="R825" i="5"/>
  <c r="Q825" i="5"/>
  <c r="P825" i="5"/>
  <c r="O825" i="5"/>
  <c r="L825" i="5"/>
  <c r="K825" i="5"/>
  <c r="M825" i="5" s="1"/>
  <c r="K805" i="5" l="1"/>
  <c r="N43" i="58"/>
  <c r="K804" i="5"/>
  <c r="H57" i="53" l="1"/>
  <c r="O16" i="55"/>
  <c r="T814" i="5" l="1"/>
  <c r="S814" i="5"/>
  <c r="R814" i="5"/>
  <c r="Q814" i="5"/>
  <c r="P814" i="5"/>
  <c r="O814" i="5"/>
  <c r="L814" i="5"/>
  <c r="K814" i="5"/>
  <c r="M814" i="5" s="1"/>
  <c r="T813" i="5"/>
  <c r="S813" i="5"/>
  <c r="R813" i="5"/>
  <c r="Q813" i="5"/>
  <c r="P813" i="5"/>
  <c r="O813" i="5"/>
  <c r="L813" i="5"/>
  <c r="K813" i="5"/>
  <c r="M813" i="5" s="1"/>
  <c r="T812" i="5"/>
  <c r="S812" i="5"/>
  <c r="R812" i="5"/>
  <c r="Q812" i="5"/>
  <c r="P812" i="5"/>
  <c r="O812" i="5"/>
  <c r="L812" i="5"/>
  <c r="K812" i="5"/>
  <c r="M812" i="5" s="1"/>
  <c r="T815" i="5"/>
  <c r="S815" i="5"/>
  <c r="R815" i="5"/>
  <c r="Q815" i="5"/>
  <c r="P815" i="5"/>
  <c r="O815" i="5"/>
  <c r="L815" i="5"/>
  <c r="K815" i="5"/>
  <c r="M815" i="5" s="1"/>
  <c r="T816" i="5"/>
  <c r="S816" i="5"/>
  <c r="R816" i="5"/>
  <c r="Q816" i="5"/>
  <c r="P816" i="5"/>
  <c r="O816" i="5"/>
  <c r="L816" i="5"/>
  <c r="K816" i="5"/>
  <c r="M816" i="5" s="1"/>
  <c r="C85" i="51"/>
  <c r="T693" i="5" l="1"/>
  <c r="S693" i="5"/>
  <c r="R693" i="5"/>
  <c r="Q693" i="5"/>
  <c r="P693" i="5"/>
  <c r="O693" i="5"/>
  <c r="L693" i="5"/>
  <c r="K693" i="5"/>
  <c r="M693" i="5" s="1"/>
  <c r="T819" i="5"/>
  <c r="S819" i="5"/>
  <c r="R819" i="5"/>
  <c r="Q819" i="5"/>
  <c r="P819" i="5"/>
  <c r="O819" i="5"/>
  <c r="L819" i="5"/>
  <c r="K819" i="5"/>
  <c r="M819" i="5" s="1"/>
  <c r="T818" i="5"/>
  <c r="S818" i="5"/>
  <c r="R818" i="5"/>
  <c r="Q818" i="5"/>
  <c r="P818" i="5"/>
  <c r="O818" i="5"/>
  <c r="L818" i="5"/>
  <c r="K818" i="5"/>
  <c r="M818" i="5" s="1"/>
  <c r="T817" i="5"/>
  <c r="S817" i="5"/>
  <c r="R817" i="5"/>
  <c r="Q817" i="5"/>
  <c r="P817" i="5"/>
  <c r="O817" i="5"/>
  <c r="L817" i="5"/>
  <c r="K817" i="5"/>
  <c r="M817" i="5" s="1"/>
  <c r="T687" i="5"/>
  <c r="S687" i="5"/>
  <c r="R687" i="5"/>
  <c r="Q687" i="5"/>
  <c r="P687" i="5"/>
  <c r="O687" i="5"/>
  <c r="L687" i="5"/>
  <c r="K687" i="5"/>
  <c r="M687" i="5" s="1"/>
  <c r="T692" i="5"/>
  <c r="S692" i="5"/>
  <c r="R692" i="5"/>
  <c r="Q692" i="5"/>
  <c r="P692" i="5"/>
  <c r="O692" i="5"/>
  <c r="L692" i="5"/>
  <c r="K692" i="5"/>
  <c r="M692" i="5" s="1"/>
  <c r="T691" i="5"/>
  <c r="S691" i="5"/>
  <c r="R691" i="5"/>
  <c r="Q691" i="5"/>
  <c r="P691" i="5"/>
  <c r="O691" i="5"/>
  <c r="L691" i="5"/>
  <c r="K691" i="5"/>
  <c r="M691" i="5" s="1"/>
  <c r="T690" i="5"/>
  <c r="S690" i="5"/>
  <c r="R690" i="5"/>
  <c r="Q690" i="5"/>
  <c r="P690" i="5"/>
  <c r="O690" i="5"/>
  <c r="L690" i="5"/>
  <c r="K690" i="5"/>
  <c r="M690" i="5" s="1"/>
  <c r="T689" i="5"/>
  <c r="S689" i="5"/>
  <c r="R689" i="5"/>
  <c r="Q689" i="5"/>
  <c r="P689" i="5"/>
  <c r="O689" i="5"/>
  <c r="L689" i="5"/>
  <c r="K689" i="5"/>
  <c r="M689" i="5" s="1"/>
  <c r="T688" i="5"/>
  <c r="S688" i="5"/>
  <c r="R688" i="5"/>
  <c r="Q688" i="5"/>
  <c r="P688" i="5"/>
  <c r="L688" i="5"/>
  <c r="K688" i="5"/>
  <c r="M688" i="5" s="1"/>
  <c r="O688" i="5" l="1"/>
  <c r="T686" i="5" l="1"/>
  <c r="S686" i="5"/>
  <c r="R686" i="5"/>
  <c r="Q686" i="5"/>
  <c r="P686" i="5"/>
  <c r="O686" i="5"/>
  <c r="L686" i="5"/>
  <c r="K686" i="5"/>
  <c r="M686" i="5" s="1"/>
  <c r="T679" i="5"/>
  <c r="S679" i="5"/>
  <c r="R679" i="5"/>
  <c r="Q679" i="5"/>
  <c r="P679" i="5"/>
  <c r="O679" i="5"/>
  <c r="L679" i="5"/>
  <c r="K679" i="5"/>
  <c r="M679" i="5" s="1"/>
  <c r="T685" i="5"/>
  <c r="S685" i="5"/>
  <c r="R685" i="5"/>
  <c r="Q685" i="5"/>
  <c r="P685" i="5"/>
  <c r="O685" i="5"/>
  <c r="L685" i="5"/>
  <c r="K685" i="5"/>
  <c r="M685" i="5" s="1"/>
  <c r="T678" i="5"/>
  <c r="S678" i="5"/>
  <c r="R678" i="5"/>
  <c r="Q678" i="5"/>
  <c r="P678" i="5"/>
  <c r="O678" i="5"/>
  <c r="L678" i="5"/>
  <c r="K678" i="5"/>
  <c r="M678" i="5" s="1"/>
  <c r="G50" i="53" l="1"/>
  <c r="G53" i="53" s="1"/>
  <c r="E50" i="53"/>
  <c r="E53" i="53" s="1"/>
  <c r="D50" i="53"/>
  <c r="D53" i="53" s="1"/>
  <c r="D61" i="53" s="1"/>
  <c r="D49" i="62"/>
  <c r="H22" i="62"/>
  <c r="C40" i="62"/>
  <c r="H11" i="62"/>
  <c r="N12" i="62"/>
  <c r="N14" i="62"/>
  <c r="M11" i="62"/>
  <c r="U34" i="56"/>
  <c r="V34" i="56"/>
  <c r="W34" i="56"/>
  <c r="X34" i="56" s="1"/>
  <c r="T34" i="56"/>
  <c r="X19" i="56"/>
  <c r="X20" i="56"/>
  <c r="X21" i="56"/>
  <c r="X22" i="56"/>
  <c r="X23" i="56"/>
  <c r="X24" i="56"/>
  <c r="X25" i="56"/>
  <c r="X26" i="56"/>
  <c r="X27" i="56"/>
  <c r="X28" i="56"/>
  <c r="X29" i="56"/>
  <c r="X30" i="56"/>
  <c r="X31" i="56"/>
  <c r="X32" i="56"/>
  <c r="X33" i="56"/>
  <c r="W35" i="56"/>
  <c r="O35" i="56"/>
  <c r="W36" i="56"/>
  <c r="O36" i="56"/>
  <c r="X38" i="56"/>
  <c r="X39" i="56"/>
  <c r="X41" i="56"/>
  <c r="W42" i="56"/>
  <c r="O42" i="56"/>
  <c r="G752" i="5"/>
  <c r="O752" i="5" s="1"/>
  <c r="V36" i="56"/>
  <c r="V37" i="56" s="1"/>
  <c r="V40" i="56" s="1"/>
  <c r="V43" i="56" s="1"/>
  <c r="U36" i="56"/>
  <c r="T36" i="56"/>
  <c r="T37" i="56" s="1"/>
  <c r="T40" i="56" s="1"/>
  <c r="T43" i="56" s="1"/>
  <c r="N36" i="56"/>
  <c r="N37" i="56" s="1"/>
  <c r="N40" i="56" s="1"/>
  <c r="N43" i="56" s="1"/>
  <c r="M36" i="56"/>
  <c r="M37" i="56" s="1"/>
  <c r="M40" i="56" s="1"/>
  <c r="M43" i="56" s="1"/>
  <c r="L36" i="56"/>
  <c r="L37" i="56" s="1"/>
  <c r="L40" i="56" s="1"/>
  <c r="L43" i="56" s="1"/>
  <c r="N660" i="5"/>
  <c r="T660" i="5" s="1"/>
  <c r="P660" i="5"/>
  <c r="O660" i="5"/>
  <c r="M660" i="5"/>
  <c r="L660" i="5"/>
  <c r="I586" i="5"/>
  <c r="I587" i="5" s="1"/>
  <c r="I588" i="5" s="1"/>
  <c r="I589" i="5" s="1"/>
  <c r="I590" i="5" s="1"/>
  <c r="I591" i="5" s="1"/>
  <c r="I592" i="5" s="1"/>
  <c r="I593" i="5" s="1"/>
  <c r="I594" i="5" s="1"/>
  <c r="I595" i="5" s="1"/>
  <c r="I596" i="5" s="1"/>
  <c r="I597" i="5" s="1"/>
  <c r="I598" i="5" s="1"/>
  <c r="I599" i="5" s="1"/>
  <c r="I600" i="5" s="1"/>
  <c r="I601" i="5" s="1"/>
  <c r="I602" i="5" s="1"/>
  <c r="I603" i="5" s="1"/>
  <c r="I604" i="5" s="1"/>
  <c r="I605" i="5" s="1"/>
  <c r="I606" i="5" s="1"/>
  <c r="I607" i="5" s="1"/>
  <c r="I608" i="5" s="1"/>
  <c r="I609" i="5" s="1"/>
  <c r="I610" i="5" s="1"/>
  <c r="I611" i="5" s="1"/>
  <c r="I612" i="5" s="1"/>
  <c r="I613" i="5" s="1"/>
  <c r="I614" i="5" s="1"/>
  <c r="I615" i="5" s="1"/>
  <c r="I616" i="5" s="1"/>
  <c r="I617" i="5" s="1"/>
  <c r="I618" i="5" s="1"/>
  <c r="I619" i="5" s="1"/>
  <c r="I620" i="5" s="1"/>
  <c r="I621" i="5" s="1"/>
  <c r="I622" i="5" s="1"/>
  <c r="I623" i="5" s="1"/>
  <c r="I624" i="5" s="1"/>
  <c r="I625" i="5" s="1"/>
  <c r="I626" i="5" s="1"/>
  <c r="I627" i="5" s="1"/>
  <c r="I628" i="5" s="1"/>
  <c r="I629" i="5" s="1"/>
  <c r="I630" i="5" s="1"/>
  <c r="N661" i="5"/>
  <c r="R661" i="5" s="1"/>
  <c r="P661" i="5"/>
  <c r="O661" i="5"/>
  <c r="M661" i="5"/>
  <c r="L661" i="5"/>
  <c r="M5" i="5"/>
  <c r="T749" i="5"/>
  <c r="S749" i="5"/>
  <c r="R749" i="5"/>
  <c r="Q749" i="5"/>
  <c r="P749" i="5"/>
  <c r="O749" i="5"/>
  <c r="K749" i="5"/>
  <c r="M749" i="5" s="1"/>
  <c r="L749" i="5"/>
  <c r="I711" i="5"/>
  <c r="I712" i="5" s="1"/>
  <c r="I713" i="5" s="1"/>
  <c r="I714" i="5" s="1"/>
  <c r="I715" i="5" s="1"/>
  <c r="I716" i="5" s="1"/>
  <c r="I717" i="5" s="1"/>
  <c r="I718" i="5" s="1"/>
  <c r="I719" i="5" s="1"/>
  <c r="I720" i="5" s="1"/>
  <c r="I721" i="5" s="1"/>
  <c r="I722" i="5" s="1"/>
  <c r="I723" i="5" s="1"/>
  <c r="I724" i="5" s="1"/>
  <c r="I725" i="5" s="1"/>
  <c r="I726" i="5" s="1"/>
  <c r="I727" i="5" s="1"/>
  <c r="I728" i="5" s="1"/>
  <c r="I729" i="5" s="1"/>
  <c r="I730" i="5" s="1"/>
  <c r="I731" i="5" s="1"/>
  <c r="I732" i="5" s="1"/>
  <c r="I733" i="5" s="1"/>
  <c r="I734" i="5" s="1"/>
  <c r="I735" i="5" s="1"/>
  <c r="I736" i="5" s="1"/>
  <c r="I737" i="5" s="1"/>
  <c r="I738" i="5" s="1"/>
  <c r="I739" i="5" s="1"/>
  <c r="I740" i="5" s="1"/>
  <c r="I741" i="5" s="1"/>
  <c r="I742" i="5" s="1"/>
  <c r="I743" i="5" s="1"/>
  <c r="I744" i="5" s="1"/>
  <c r="I745" i="5" s="1"/>
  <c r="I746" i="5" s="1"/>
  <c r="I747" i="5" s="1"/>
  <c r="X11" i="56"/>
  <c r="X12" i="56"/>
  <c r="X13" i="56"/>
  <c r="X14" i="56"/>
  <c r="X15" i="56"/>
  <c r="X16" i="56"/>
  <c r="X17" i="56"/>
  <c r="X18" i="56"/>
  <c r="T752" i="5"/>
  <c r="S752" i="5"/>
  <c r="R752" i="5"/>
  <c r="Q752" i="5"/>
  <c r="P752" i="5"/>
  <c r="K752" i="5"/>
  <c r="M752" i="5" s="1"/>
  <c r="L752" i="5"/>
  <c r="O711" i="5"/>
  <c r="P711" i="5"/>
  <c r="Q711" i="5"/>
  <c r="R711" i="5"/>
  <c r="S711" i="5"/>
  <c r="T711" i="5"/>
  <c r="O712" i="5"/>
  <c r="P712" i="5"/>
  <c r="Q712" i="5"/>
  <c r="R712" i="5"/>
  <c r="S712" i="5"/>
  <c r="T712" i="5"/>
  <c r="O713" i="5"/>
  <c r="P713" i="5"/>
  <c r="Q713" i="5"/>
  <c r="R713" i="5"/>
  <c r="S713" i="5"/>
  <c r="T713" i="5"/>
  <c r="O714" i="5"/>
  <c r="P714" i="5"/>
  <c r="Q714" i="5"/>
  <c r="R714" i="5"/>
  <c r="S714" i="5"/>
  <c r="T714" i="5"/>
  <c r="O715" i="5"/>
  <c r="P715" i="5"/>
  <c r="Q715" i="5"/>
  <c r="R715" i="5"/>
  <c r="S715" i="5"/>
  <c r="T715" i="5"/>
  <c r="O716" i="5"/>
  <c r="P716" i="5"/>
  <c r="Q716" i="5"/>
  <c r="R716" i="5"/>
  <c r="S716" i="5"/>
  <c r="T716" i="5"/>
  <c r="O717" i="5"/>
  <c r="P717" i="5"/>
  <c r="Q717" i="5"/>
  <c r="R717" i="5"/>
  <c r="S717" i="5"/>
  <c r="T717" i="5"/>
  <c r="O718" i="5"/>
  <c r="P718" i="5"/>
  <c r="Q718" i="5"/>
  <c r="R718" i="5"/>
  <c r="S718" i="5"/>
  <c r="T718" i="5"/>
  <c r="O719" i="5"/>
  <c r="P719" i="5"/>
  <c r="Q719" i="5"/>
  <c r="R719" i="5"/>
  <c r="S719" i="5"/>
  <c r="T719" i="5"/>
  <c r="O720" i="5"/>
  <c r="P720" i="5"/>
  <c r="Q720" i="5"/>
  <c r="R720" i="5"/>
  <c r="S720" i="5"/>
  <c r="T720" i="5"/>
  <c r="O721" i="5"/>
  <c r="P721" i="5"/>
  <c r="Q721" i="5"/>
  <c r="R721" i="5"/>
  <c r="S721" i="5"/>
  <c r="T721" i="5"/>
  <c r="O722" i="5"/>
  <c r="P722" i="5"/>
  <c r="Q722" i="5"/>
  <c r="R722" i="5"/>
  <c r="S722" i="5"/>
  <c r="T722" i="5"/>
  <c r="O723" i="5"/>
  <c r="P723" i="5"/>
  <c r="Q723" i="5"/>
  <c r="R723" i="5"/>
  <c r="S723" i="5"/>
  <c r="T723" i="5"/>
  <c r="O724" i="5"/>
  <c r="P724" i="5"/>
  <c r="Q724" i="5"/>
  <c r="R724" i="5"/>
  <c r="S724" i="5"/>
  <c r="T724" i="5"/>
  <c r="O725" i="5"/>
  <c r="P725" i="5"/>
  <c r="Q725" i="5"/>
  <c r="R725" i="5"/>
  <c r="S725" i="5"/>
  <c r="T725" i="5"/>
  <c r="O726" i="5"/>
  <c r="P726" i="5"/>
  <c r="Q726" i="5"/>
  <c r="R726" i="5"/>
  <c r="S726" i="5"/>
  <c r="T726" i="5"/>
  <c r="O727" i="5"/>
  <c r="P727" i="5"/>
  <c r="Q727" i="5"/>
  <c r="R727" i="5"/>
  <c r="S727" i="5"/>
  <c r="T727" i="5"/>
  <c r="O728" i="5"/>
  <c r="P728" i="5"/>
  <c r="Q728" i="5"/>
  <c r="R728" i="5"/>
  <c r="S728" i="5"/>
  <c r="T728" i="5"/>
  <c r="O729" i="5"/>
  <c r="P729" i="5"/>
  <c r="Q729" i="5"/>
  <c r="R729" i="5"/>
  <c r="S729" i="5"/>
  <c r="T729" i="5"/>
  <c r="O730" i="5"/>
  <c r="P730" i="5"/>
  <c r="Q730" i="5"/>
  <c r="R730" i="5"/>
  <c r="S730" i="5"/>
  <c r="T730" i="5"/>
  <c r="O731" i="5"/>
  <c r="P731" i="5"/>
  <c r="Q731" i="5"/>
  <c r="R731" i="5"/>
  <c r="S731" i="5"/>
  <c r="T731" i="5"/>
  <c r="O732" i="5"/>
  <c r="P732" i="5"/>
  <c r="Q732" i="5"/>
  <c r="R732" i="5"/>
  <c r="S732" i="5"/>
  <c r="T732" i="5"/>
  <c r="O733" i="5"/>
  <c r="P733" i="5"/>
  <c r="Q733" i="5"/>
  <c r="R733" i="5"/>
  <c r="S733" i="5"/>
  <c r="T733" i="5"/>
  <c r="O734" i="5"/>
  <c r="P734" i="5"/>
  <c r="Q734" i="5"/>
  <c r="R734" i="5"/>
  <c r="S734" i="5"/>
  <c r="T734" i="5"/>
  <c r="O735" i="5"/>
  <c r="P735" i="5"/>
  <c r="Q735" i="5"/>
  <c r="R735" i="5"/>
  <c r="S735" i="5"/>
  <c r="T735" i="5"/>
  <c r="O736" i="5"/>
  <c r="P736" i="5"/>
  <c r="Q736" i="5"/>
  <c r="R736" i="5"/>
  <c r="S736" i="5"/>
  <c r="T736" i="5"/>
  <c r="O737" i="5"/>
  <c r="P737" i="5"/>
  <c r="Q737" i="5"/>
  <c r="R737" i="5"/>
  <c r="S737" i="5"/>
  <c r="T737" i="5"/>
  <c r="O738" i="5"/>
  <c r="P738" i="5"/>
  <c r="Q738" i="5"/>
  <c r="R738" i="5"/>
  <c r="S738" i="5"/>
  <c r="T738" i="5"/>
  <c r="O739" i="5"/>
  <c r="P739" i="5"/>
  <c r="Q739" i="5"/>
  <c r="R739" i="5"/>
  <c r="S739" i="5"/>
  <c r="T739" i="5"/>
  <c r="O740" i="5"/>
  <c r="P740" i="5"/>
  <c r="Q740" i="5"/>
  <c r="R740" i="5"/>
  <c r="S740" i="5"/>
  <c r="T740" i="5"/>
  <c r="O741" i="5"/>
  <c r="P741" i="5"/>
  <c r="Q741" i="5"/>
  <c r="R741" i="5"/>
  <c r="S741" i="5"/>
  <c r="T741" i="5"/>
  <c r="O742" i="5"/>
  <c r="P742" i="5"/>
  <c r="Q742" i="5"/>
  <c r="R742" i="5"/>
  <c r="S742" i="5"/>
  <c r="T742" i="5"/>
  <c r="O743" i="5"/>
  <c r="P743" i="5"/>
  <c r="Q743" i="5"/>
  <c r="R743" i="5"/>
  <c r="S743" i="5"/>
  <c r="T743" i="5"/>
  <c r="O744" i="5"/>
  <c r="P744" i="5"/>
  <c r="Q744" i="5"/>
  <c r="R744" i="5"/>
  <c r="S744" i="5"/>
  <c r="T744" i="5"/>
  <c r="O745" i="5"/>
  <c r="P745" i="5"/>
  <c r="Q745" i="5"/>
  <c r="R745" i="5"/>
  <c r="S745" i="5"/>
  <c r="T745" i="5"/>
  <c r="O746" i="5"/>
  <c r="P746" i="5"/>
  <c r="Q746" i="5"/>
  <c r="R746" i="5"/>
  <c r="S746" i="5"/>
  <c r="T746" i="5"/>
  <c r="O747" i="5"/>
  <c r="P747" i="5"/>
  <c r="Q747" i="5"/>
  <c r="R747" i="5"/>
  <c r="S747" i="5"/>
  <c r="T747" i="5"/>
  <c r="O748" i="5"/>
  <c r="P748" i="5"/>
  <c r="Q748" i="5"/>
  <c r="R748" i="5"/>
  <c r="S748" i="5"/>
  <c r="T748" i="5"/>
  <c r="O750" i="5"/>
  <c r="P750" i="5"/>
  <c r="Q750" i="5"/>
  <c r="R750" i="5"/>
  <c r="S750" i="5"/>
  <c r="T750" i="5"/>
  <c r="O751" i="5"/>
  <c r="P751" i="5"/>
  <c r="Q751" i="5"/>
  <c r="R751" i="5"/>
  <c r="S751" i="5"/>
  <c r="T751" i="5"/>
  <c r="O753" i="5"/>
  <c r="P753" i="5"/>
  <c r="Q753" i="5"/>
  <c r="R753" i="5"/>
  <c r="S753" i="5"/>
  <c r="T753" i="5"/>
  <c r="O754" i="5"/>
  <c r="P754" i="5"/>
  <c r="Q754" i="5"/>
  <c r="R754" i="5"/>
  <c r="S754" i="5"/>
  <c r="T754" i="5"/>
  <c r="O755" i="5"/>
  <c r="P755" i="5"/>
  <c r="Q755" i="5"/>
  <c r="R755" i="5"/>
  <c r="S755" i="5"/>
  <c r="T755" i="5"/>
  <c r="O756" i="5"/>
  <c r="P756" i="5"/>
  <c r="Q756" i="5"/>
  <c r="R756" i="5"/>
  <c r="S756" i="5"/>
  <c r="T756" i="5"/>
  <c r="O757" i="5"/>
  <c r="P757" i="5"/>
  <c r="Q757" i="5"/>
  <c r="R757" i="5"/>
  <c r="S757" i="5"/>
  <c r="T757" i="5"/>
  <c r="O758" i="5"/>
  <c r="P758" i="5"/>
  <c r="Q758" i="5"/>
  <c r="R758" i="5"/>
  <c r="S758" i="5"/>
  <c r="T758" i="5"/>
  <c r="O759" i="5"/>
  <c r="P759" i="5"/>
  <c r="Q759" i="5"/>
  <c r="R759" i="5"/>
  <c r="S759" i="5"/>
  <c r="T759" i="5"/>
  <c r="T710" i="5"/>
  <c r="S710" i="5"/>
  <c r="R710" i="5"/>
  <c r="Q710" i="5"/>
  <c r="P710" i="5"/>
  <c r="O710" i="5"/>
  <c r="K711" i="5"/>
  <c r="M711" i="5" s="1"/>
  <c r="L711" i="5"/>
  <c r="K712" i="5"/>
  <c r="M712" i="5" s="1"/>
  <c r="L712" i="5"/>
  <c r="K713" i="5"/>
  <c r="M713" i="5" s="1"/>
  <c r="L713" i="5"/>
  <c r="K714" i="5"/>
  <c r="M714" i="5" s="1"/>
  <c r="L714" i="5"/>
  <c r="K715" i="5"/>
  <c r="M715" i="5" s="1"/>
  <c r="L715" i="5"/>
  <c r="K716" i="5"/>
  <c r="M716" i="5" s="1"/>
  <c r="L716" i="5"/>
  <c r="K717" i="5"/>
  <c r="M717" i="5" s="1"/>
  <c r="L717" i="5"/>
  <c r="K718" i="5"/>
  <c r="M718" i="5" s="1"/>
  <c r="L718" i="5"/>
  <c r="K719" i="5"/>
  <c r="M719" i="5" s="1"/>
  <c r="L719" i="5"/>
  <c r="K720" i="5"/>
  <c r="M720" i="5" s="1"/>
  <c r="L720" i="5"/>
  <c r="K721" i="5"/>
  <c r="M721" i="5" s="1"/>
  <c r="L721" i="5"/>
  <c r="K722" i="5"/>
  <c r="M722" i="5" s="1"/>
  <c r="L722" i="5"/>
  <c r="K723" i="5"/>
  <c r="M723" i="5" s="1"/>
  <c r="L723" i="5"/>
  <c r="K724" i="5"/>
  <c r="M724" i="5" s="1"/>
  <c r="L724" i="5"/>
  <c r="K725" i="5"/>
  <c r="M725" i="5" s="1"/>
  <c r="L725" i="5"/>
  <c r="K726" i="5"/>
  <c r="M726" i="5" s="1"/>
  <c r="L726" i="5"/>
  <c r="K727" i="5"/>
  <c r="M727" i="5" s="1"/>
  <c r="L727" i="5"/>
  <c r="K728" i="5"/>
  <c r="M728" i="5" s="1"/>
  <c r="L728" i="5"/>
  <c r="K729" i="5"/>
  <c r="M729" i="5" s="1"/>
  <c r="L729" i="5"/>
  <c r="K730" i="5"/>
  <c r="M730" i="5" s="1"/>
  <c r="L730" i="5"/>
  <c r="K731" i="5"/>
  <c r="M731" i="5" s="1"/>
  <c r="L731" i="5"/>
  <c r="K732" i="5"/>
  <c r="M732" i="5" s="1"/>
  <c r="L732" i="5"/>
  <c r="K733" i="5"/>
  <c r="M733" i="5" s="1"/>
  <c r="L733" i="5"/>
  <c r="K734" i="5"/>
  <c r="M734" i="5" s="1"/>
  <c r="L734" i="5"/>
  <c r="K735" i="5"/>
  <c r="M735" i="5" s="1"/>
  <c r="L735" i="5"/>
  <c r="K736" i="5"/>
  <c r="M736" i="5" s="1"/>
  <c r="L736" i="5"/>
  <c r="K737" i="5"/>
  <c r="M737" i="5" s="1"/>
  <c r="L737" i="5"/>
  <c r="K738" i="5"/>
  <c r="M738" i="5" s="1"/>
  <c r="L738" i="5"/>
  <c r="K739" i="5"/>
  <c r="M739" i="5" s="1"/>
  <c r="L739" i="5"/>
  <c r="K740" i="5"/>
  <c r="M740" i="5" s="1"/>
  <c r="L740" i="5"/>
  <c r="K741" i="5"/>
  <c r="M741" i="5" s="1"/>
  <c r="L741" i="5"/>
  <c r="K742" i="5"/>
  <c r="M742" i="5" s="1"/>
  <c r="L742" i="5"/>
  <c r="K743" i="5"/>
  <c r="M743" i="5" s="1"/>
  <c r="L743" i="5"/>
  <c r="K744" i="5"/>
  <c r="M744" i="5" s="1"/>
  <c r="L744" i="5"/>
  <c r="K745" i="5"/>
  <c r="M745" i="5" s="1"/>
  <c r="L745" i="5"/>
  <c r="K746" i="5"/>
  <c r="M746" i="5" s="1"/>
  <c r="L746" i="5"/>
  <c r="K747" i="5"/>
  <c r="M747" i="5" s="1"/>
  <c r="L747" i="5"/>
  <c r="K748" i="5"/>
  <c r="M748" i="5" s="1"/>
  <c r="L748" i="5"/>
  <c r="K750" i="5"/>
  <c r="M750" i="5" s="1"/>
  <c r="L750" i="5"/>
  <c r="K751" i="5"/>
  <c r="M751" i="5" s="1"/>
  <c r="L751" i="5"/>
  <c r="K753" i="5"/>
  <c r="M753" i="5" s="1"/>
  <c r="L753" i="5"/>
  <c r="K754" i="5"/>
  <c r="M754" i="5" s="1"/>
  <c r="L754" i="5"/>
  <c r="K755" i="5"/>
  <c r="M755" i="5" s="1"/>
  <c r="L755" i="5"/>
  <c r="K756" i="5"/>
  <c r="M756" i="5" s="1"/>
  <c r="L756" i="5"/>
  <c r="K757" i="5"/>
  <c r="M757" i="5" s="1"/>
  <c r="L757" i="5"/>
  <c r="K758" i="5"/>
  <c r="M758" i="5" s="1"/>
  <c r="L758" i="5"/>
  <c r="K759" i="5"/>
  <c r="M759" i="5" s="1"/>
  <c r="L759" i="5"/>
  <c r="K710" i="5"/>
  <c r="M710" i="5" s="1"/>
  <c r="L710" i="5"/>
  <c r="G631" i="5"/>
  <c r="H632" i="5"/>
  <c r="O632" i="5" s="1"/>
  <c r="I769" i="5"/>
  <c r="I770" i="5" s="1"/>
  <c r="I771" i="5" s="1"/>
  <c r="I772" i="5" s="1"/>
  <c r="I773" i="5" s="1"/>
  <c r="I774" i="5" s="1"/>
  <c r="I775" i="5" s="1"/>
  <c r="I776" i="5" s="1"/>
  <c r="I777" i="5" s="1"/>
  <c r="I778" i="5" s="1"/>
  <c r="I779" i="5" s="1"/>
  <c r="I780" i="5" s="1"/>
  <c r="I781" i="5" s="1"/>
  <c r="I782" i="5" s="1"/>
  <c r="I783" i="5" s="1"/>
  <c r="I784" i="5" s="1"/>
  <c r="I785" i="5" s="1"/>
  <c r="I786" i="5" s="1"/>
  <c r="I787" i="5" s="1"/>
  <c r="I788" i="5" s="1"/>
  <c r="I789" i="5" s="1"/>
  <c r="I790" i="5" s="1"/>
  <c r="I791" i="5" s="1"/>
  <c r="I792" i="5" s="1"/>
  <c r="I793" i="5" s="1"/>
  <c r="I794" i="5" s="1"/>
  <c r="I795" i="5" s="1"/>
  <c r="I796" i="5" s="1"/>
  <c r="I797" i="5" s="1"/>
  <c r="I798" i="5" s="1"/>
  <c r="I799" i="5" s="1"/>
  <c r="I800" i="5" s="1"/>
  <c r="H792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2" i="5"/>
  <c r="L663" i="5"/>
  <c r="L664" i="5"/>
  <c r="L665" i="5"/>
  <c r="N665" i="5"/>
  <c r="T665" i="5" s="1"/>
  <c r="P665" i="5"/>
  <c r="O665" i="5"/>
  <c r="M665" i="5"/>
  <c r="N664" i="5"/>
  <c r="T664" i="5" s="1"/>
  <c r="P664" i="5"/>
  <c r="O664" i="5"/>
  <c r="M664" i="5"/>
  <c r="N663" i="5"/>
  <c r="T663" i="5" s="1"/>
  <c r="P663" i="5"/>
  <c r="O663" i="5"/>
  <c r="M663" i="5"/>
  <c r="N662" i="5"/>
  <c r="T662" i="5" s="1"/>
  <c r="P662" i="5"/>
  <c r="O662" i="5"/>
  <c r="M662" i="5"/>
  <c r="N659" i="5"/>
  <c r="T659" i="5" s="1"/>
  <c r="P659" i="5"/>
  <c r="O659" i="5"/>
  <c r="M659" i="5"/>
  <c r="N658" i="5"/>
  <c r="T658" i="5" s="1"/>
  <c r="P658" i="5"/>
  <c r="O658" i="5"/>
  <c r="M658" i="5"/>
  <c r="N657" i="5"/>
  <c r="T657" i="5" s="1"/>
  <c r="P657" i="5"/>
  <c r="O657" i="5"/>
  <c r="M657" i="5"/>
  <c r="N656" i="5"/>
  <c r="T656" i="5" s="1"/>
  <c r="P656" i="5"/>
  <c r="O656" i="5"/>
  <c r="M656" i="5"/>
  <c r="N655" i="5"/>
  <c r="T655" i="5" s="1"/>
  <c r="P655" i="5"/>
  <c r="O655" i="5"/>
  <c r="M655" i="5"/>
  <c r="N654" i="5"/>
  <c r="T654" i="5" s="1"/>
  <c r="P654" i="5"/>
  <c r="O654" i="5"/>
  <c r="M654" i="5"/>
  <c r="N653" i="5"/>
  <c r="T653" i="5" s="1"/>
  <c r="P653" i="5"/>
  <c r="O653" i="5"/>
  <c r="M653" i="5"/>
  <c r="N652" i="5"/>
  <c r="T652" i="5" s="1"/>
  <c r="P652" i="5"/>
  <c r="O652" i="5"/>
  <c r="M652" i="5"/>
  <c r="N651" i="5"/>
  <c r="T651" i="5" s="1"/>
  <c r="P651" i="5"/>
  <c r="O651" i="5"/>
  <c r="M651" i="5"/>
  <c r="N650" i="5"/>
  <c r="T650" i="5" s="1"/>
  <c r="P650" i="5"/>
  <c r="O650" i="5"/>
  <c r="M650" i="5"/>
  <c r="N649" i="5"/>
  <c r="T649" i="5" s="1"/>
  <c r="P649" i="5"/>
  <c r="O649" i="5"/>
  <c r="M649" i="5"/>
  <c r="N648" i="5"/>
  <c r="T648" i="5" s="1"/>
  <c r="P648" i="5"/>
  <c r="O648" i="5"/>
  <c r="M648" i="5"/>
  <c r="N647" i="5"/>
  <c r="T647" i="5" s="1"/>
  <c r="P647" i="5"/>
  <c r="O647" i="5"/>
  <c r="M647" i="5"/>
  <c r="N646" i="5"/>
  <c r="T646" i="5" s="1"/>
  <c r="P646" i="5"/>
  <c r="O646" i="5"/>
  <c r="M646" i="5"/>
  <c r="N645" i="5"/>
  <c r="T645" i="5" s="1"/>
  <c r="P645" i="5"/>
  <c r="O645" i="5"/>
  <c r="M645" i="5"/>
  <c r="N644" i="5"/>
  <c r="T644" i="5" s="1"/>
  <c r="P644" i="5"/>
  <c r="O644" i="5"/>
  <c r="M644" i="5"/>
  <c r="N643" i="5"/>
  <c r="T643" i="5" s="1"/>
  <c r="P643" i="5"/>
  <c r="O643" i="5"/>
  <c r="M643" i="5"/>
  <c r="N642" i="5"/>
  <c r="T642" i="5" s="1"/>
  <c r="P642" i="5"/>
  <c r="O642" i="5"/>
  <c r="M642" i="5"/>
  <c r="N641" i="5"/>
  <c r="T641" i="5" s="1"/>
  <c r="P641" i="5"/>
  <c r="O641" i="5"/>
  <c r="M641" i="5"/>
  <c r="N640" i="5"/>
  <c r="T640" i="5" s="1"/>
  <c r="P640" i="5"/>
  <c r="O640" i="5"/>
  <c r="M640" i="5"/>
  <c r="N639" i="5"/>
  <c r="T639" i="5" s="1"/>
  <c r="P639" i="5"/>
  <c r="O639" i="5"/>
  <c r="M639" i="5"/>
  <c r="N638" i="5"/>
  <c r="T638" i="5" s="1"/>
  <c r="P638" i="5"/>
  <c r="O638" i="5"/>
  <c r="M638" i="5"/>
  <c r="N637" i="5"/>
  <c r="T637" i="5" s="1"/>
  <c r="P637" i="5"/>
  <c r="O637" i="5"/>
  <c r="M637" i="5"/>
  <c r="N636" i="5"/>
  <c r="T636" i="5" s="1"/>
  <c r="P636" i="5"/>
  <c r="O636" i="5"/>
  <c r="M636" i="5"/>
  <c r="N635" i="5"/>
  <c r="T635" i="5" s="1"/>
  <c r="P635" i="5"/>
  <c r="O635" i="5"/>
  <c r="M635" i="5"/>
  <c r="N634" i="5"/>
  <c r="T634" i="5" s="1"/>
  <c r="P634" i="5"/>
  <c r="O634" i="5"/>
  <c r="M634" i="5"/>
  <c r="N633" i="5"/>
  <c r="T633" i="5" s="1"/>
  <c r="P633" i="5"/>
  <c r="O633" i="5"/>
  <c r="M633" i="5"/>
  <c r="N632" i="5"/>
  <c r="T632" i="5" s="1"/>
  <c r="P632" i="5"/>
  <c r="M632" i="5"/>
  <c r="M666" i="5"/>
  <c r="N666" i="5"/>
  <c r="O666" i="5"/>
  <c r="P666" i="5"/>
  <c r="U37" i="56"/>
  <c r="U40" i="56" s="1"/>
  <c r="U43" i="56" s="1"/>
  <c r="O800" i="5"/>
  <c r="O799" i="5"/>
  <c r="O798" i="5"/>
  <c r="O797" i="5"/>
  <c r="O796" i="5"/>
  <c r="O795" i="5"/>
  <c r="O794" i="5"/>
  <c r="O793" i="5"/>
  <c r="O792" i="5"/>
  <c r="W790" i="5"/>
  <c r="W791" i="5" s="1"/>
  <c r="O791" i="5"/>
  <c r="O790" i="5"/>
  <c r="O789" i="5"/>
  <c r="O788" i="5"/>
  <c r="O787" i="5"/>
  <c r="O786" i="5"/>
  <c r="O785" i="5"/>
  <c r="O784" i="5"/>
  <c r="O783" i="5"/>
  <c r="O782" i="5"/>
  <c r="O781" i="5"/>
  <c r="O780" i="5"/>
  <c r="O779" i="5"/>
  <c r="O778" i="5"/>
  <c r="O777" i="5"/>
  <c r="O776" i="5"/>
  <c r="O775" i="5"/>
  <c r="O774" i="5"/>
  <c r="O773" i="5"/>
  <c r="O772" i="5"/>
  <c r="O771" i="5"/>
  <c r="O770" i="5"/>
  <c r="O769" i="5"/>
  <c r="N768" i="5"/>
  <c r="T768" i="5" s="1"/>
  <c r="P768" i="5"/>
  <c r="O768" i="5"/>
  <c r="M768" i="5"/>
  <c r="L768" i="5"/>
  <c r="N767" i="5"/>
  <c r="T767" i="5" s="1"/>
  <c r="P767" i="5"/>
  <c r="O767" i="5"/>
  <c r="M767" i="5"/>
  <c r="L767" i="5"/>
  <c r="N766" i="5"/>
  <c r="T766" i="5" s="1"/>
  <c r="P766" i="5"/>
  <c r="O766" i="5"/>
  <c r="M766" i="5"/>
  <c r="L766" i="5"/>
  <c r="N765" i="5"/>
  <c r="Q765" i="5" s="1"/>
  <c r="P765" i="5"/>
  <c r="O765" i="5"/>
  <c r="M765" i="5"/>
  <c r="L765" i="5"/>
  <c r="N764" i="5"/>
  <c r="P764" i="5"/>
  <c r="O764" i="5"/>
  <c r="M764" i="5"/>
  <c r="L764" i="5"/>
  <c r="N763" i="5"/>
  <c r="R763" i="5" s="1"/>
  <c r="P763" i="5"/>
  <c r="O763" i="5"/>
  <c r="M763" i="5"/>
  <c r="L763" i="5"/>
  <c r="N762" i="5"/>
  <c r="S762" i="5" s="1"/>
  <c r="P762" i="5"/>
  <c r="O762" i="5"/>
  <c r="M762" i="5"/>
  <c r="L762" i="5"/>
  <c r="N761" i="5"/>
  <c r="T761" i="5" s="1"/>
  <c r="P761" i="5"/>
  <c r="O761" i="5"/>
  <c r="M761" i="5"/>
  <c r="L761" i="5"/>
  <c r="N760" i="5"/>
  <c r="R760" i="5" s="1"/>
  <c r="P760" i="5"/>
  <c r="O760" i="5"/>
  <c r="M760" i="5"/>
  <c r="L760" i="5"/>
  <c r="I674" i="5"/>
  <c r="I675" i="5" s="1"/>
  <c r="I676" i="5" s="1"/>
  <c r="I677" i="5" s="1"/>
  <c r="I678" i="5" s="1"/>
  <c r="I679" i="5" s="1"/>
  <c r="I680" i="5" s="1"/>
  <c r="I681" i="5" s="1"/>
  <c r="I682" i="5" s="1"/>
  <c r="I683" i="5" s="1"/>
  <c r="I684" i="5" s="1"/>
  <c r="I685" i="5" s="1"/>
  <c r="I686" i="5" s="1"/>
  <c r="I687" i="5" s="1"/>
  <c r="I688" i="5" s="1"/>
  <c r="I689" i="5" s="1"/>
  <c r="I690" i="5" s="1"/>
  <c r="I691" i="5" s="1"/>
  <c r="I692" i="5" s="1"/>
  <c r="I693" i="5" s="1"/>
  <c r="I694" i="5" s="1"/>
  <c r="I695" i="5" s="1"/>
  <c r="I696" i="5" s="1"/>
  <c r="I697" i="5" s="1"/>
  <c r="I698" i="5" s="1"/>
  <c r="I699" i="5" s="1"/>
  <c r="I700" i="5" s="1"/>
  <c r="I701" i="5" s="1"/>
  <c r="I702" i="5" s="1"/>
  <c r="I703" i="5" s="1"/>
  <c r="I704" i="5" s="1"/>
  <c r="I705" i="5" s="1"/>
  <c r="I706" i="5" s="1"/>
  <c r="I707" i="5" s="1"/>
  <c r="I708" i="5" s="1"/>
  <c r="C74" i="51"/>
  <c r="C76" i="51" s="1"/>
  <c r="K811" i="5"/>
  <c r="M811" i="5" s="1"/>
  <c r="L811" i="5"/>
  <c r="O811" i="5"/>
  <c r="P811" i="5"/>
  <c r="Q811" i="5"/>
  <c r="R811" i="5"/>
  <c r="S811" i="5"/>
  <c r="T811" i="5"/>
  <c r="K809" i="5"/>
  <c r="M809" i="5" s="1"/>
  <c r="L809" i="5"/>
  <c r="O809" i="5"/>
  <c r="P809" i="5"/>
  <c r="Q809" i="5"/>
  <c r="R809" i="5"/>
  <c r="S809" i="5"/>
  <c r="T809" i="5"/>
  <c r="K810" i="5"/>
  <c r="M810" i="5" s="1"/>
  <c r="L810" i="5"/>
  <c r="O810" i="5"/>
  <c r="P810" i="5"/>
  <c r="Q810" i="5"/>
  <c r="R810" i="5"/>
  <c r="S810" i="5"/>
  <c r="T810" i="5"/>
  <c r="K808" i="5"/>
  <c r="M808" i="5" s="1"/>
  <c r="L808" i="5"/>
  <c r="O808" i="5"/>
  <c r="P808" i="5"/>
  <c r="Q808" i="5"/>
  <c r="R808" i="5"/>
  <c r="S808" i="5"/>
  <c r="T808" i="5"/>
  <c r="K806" i="5"/>
  <c r="M806" i="5" s="1"/>
  <c r="L806" i="5"/>
  <c r="O806" i="5"/>
  <c r="P806" i="5"/>
  <c r="Q806" i="5"/>
  <c r="R806" i="5"/>
  <c r="S806" i="5"/>
  <c r="T806" i="5"/>
  <c r="K807" i="5"/>
  <c r="M807" i="5" s="1"/>
  <c r="L807" i="5"/>
  <c r="O807" i="5"/>
  <c r="P807" i="5"/>
  <c r="Q807" i="5"/>
  <c r="R807" i="5"/>
  <c r="S807" i="5"/>
  <c r="T807" i="5"/>
  <c r="O41" i="58"/>
  <c r="C56" i="51"/>
  <c r="T696" i="5"/>
  <c r="S696" i="5"/>
  <c r="R696" i="5"/>
  <c r="Q696" i="5"/>
  <c r="P696" i="5"/>
  <c r="O696" i="5"/>
  <c r="L696" i="5"/>
  <c r="K696" i="5"/>
  <c r="M696" i="5" s="1"/>
  <c r="S10" i="55"/>
  <c r="S11" i="55"/>
  <c r="S12" i="55"/>
  <c r="S13" i="55"/>
  <c r="S14" i="55"/>
  <c r="S15" i="55"/>
  <c r="S16" i="55"/>
  <c r="S17" i="55"/>
  <c r="S18" i="55"/>
  <c r="S19" i="55"/>
  <c r="S20" i="55"/>
  <c r="S21" i="55"/>
  <c r="S22" i="55"/>
  <c r="S9" i="55"/>
  <c r="O21" i="55"/>
  <c r="P804" i="5"/>
  <c r="O804" i="5"/>
  <c r="R804" i="5"/>
  <c r="M804" i="5"/>
  <c r="L804" i="5"/>
  <c r="P805" i="5"/>
  <c r="O805" i="5"/>
  <c r="R805" i="5"/>
  <c r="M805" i="5"/>
  <c r="L805" i="5"/>
  <c r="O10" i="55"/>
  <c r="O11" i="55"/>
  <c r="O12" i="55"/>
  <c r="O13" i="55"/>
  <c r="O14" i="55"/>
  <c r="O15" i="55"/>
  <c r="P18" i="55" s="1"/>
  <c r="O18" i="55"/>
  <c r="O19" i="55"/>
  <c r="O20" i="55"/>
  <c r="O22" i="55"/>
  <c r="L602" i="5"/>
  <c r="K602" i="5"/>
  <c r="M602" i="5" s="1"/>
  <c r="T602" i="5"/>
  <c r="S602" i="5"/>
  <c r="P602" i="5"/>
  <c r="O602" i="5"/>
  <c r="R602" i="5"/>
  <c r="O9" i="55"/>
  <c r="T701" i="5"/>
  <c r="S701" i="5"/>
  <c r="R701" i="5"/>
  <c r="Q701" i="5"/>
  <c r="P701" i="5"/>
  <c r="O701" i="5"/>
  <c r="L701" i="5"/>
  <c r="K701" i="5"/>
  <c r="M701" i="5" s="1"/>
  <c r="T702" i="5"/>
  <c r="S702" i="5"/>
  <c r="R702" i="5"/>
  <c r="Q702" i="5"/>
  <c r="P702" i="5"/>
  <c r="O702" i="5"/>
  <c r="L702" i="5"/>
  <c r="K702" i="5"/>
  <c r="M702" i="5" s="1"/>
  <c r="T703" i="5"/>
  <c r="S703" i="5"/>
  <c r="R703" i="5"/>
  <c r="Q703" i="5"/>
  <c r="P703" i="5"/>
  <c r="O703" i="5"/>
  <c r="L703" i="5"/>
  <c r="K703" i="5"/>
  <c r="M703" i="5" s="1"/>
  <c r="T704" i="5"/>
  <c r="S704" i="5"/>
  <c r="R704" i="5"/>
  <c r="Q704" i="5"/>
  <c r="P704" i="5"/>
  <c r="O704" i="5"/>
  <c r="L704" i="5"/>
  <c r="K704" i="5"/>
  <c r="M704" i="5" s="1"/>
  <c r="T705" i="5"/>
  <c r="S705" i="5"/>
  <c r="R705" i="5"/>
  <c r="Q705" i="5"/>
  <c r="P705" i="5"/>
  <c r="O705" i="5"/>
  <c r="L705" i="5"/>
  <c r="K705" i="5"/>
  <c r="M705" i="5" s="1"/>
  <c r="T707" i="5"/>
  <c r="S707" i="5"/>
  <c r="R707" i="5"/>
  <c r="Q707" i="5"/>
  <c r="P707" i="5"/>
  <c r="O707" i="5"/>
  <c r="L707" i="5"/>
  <c r="K707" i="5"/>
  <c r="M707" i="5" s="1"/>
  <c r="T706" i="5"/>
  <c r="S706" i="5"/>
  <c r="R706" i="5"/>
  <c r="Q706" i="5"/>
  <c r="P706" i="5"/>
  <c r="O706" i="5"/>
  <c r="L706" i="5"/>
  <c r="K706" i="5"/>
  <c r="M706" i="5" s="1"/>
  <c r="T708" i="5"/>
  <c r="S708" i="5"/>
  <c r="R708" i="5"/>
  <c r="Q708" i="5"/>
  <c r="P708" i="5"/>
  <c r="O708" i="5"/>
  <c r="L708" i="5"/>
  <c r="K708" i="5"/>
  <c r="M708" i="5" s="1"/>
  <c r="T801" i="5"/>
  <c r="S801" i="5"/>
  <c r="R801" i="5"/>
  <c r="Q801" i="5"/>
  <c r="P801" i="5"/>
  <c r="O801" i="5"/>
  <c r="L801" i="5"/>
  <c r="K801" i="5"/>
  <c r="M801" i="5" s="1"/>
  <c r="T709" i="5"/>
  <c r="S709" i="5"/>
  <c r="R709" i="5"/>
  <c r="Q709" i="5"/>
  <c r="P709" i="5"/>
  <c r="O709" i="5"/>
  <c r="L709" i="5"/>
  <c r="K709" i="5"/>
  <c r="M709" i="5" s="1"/>
  <c r="T803" i="5"/>
  <c r="S803" i="5"/>
  <c r="R803" i="5"/>
  <c r="Q803" i="5"/>
  <c r="P803" i="5"/>
  <c r="O803" i="5"/>
  <c r="L803" i="5"/>
  <c r="K803" i="5"/>
  <c r="M803" i="5" s="1"/>
  <c r="T802" i="5"/>
  <c r="S802" i="5"/>
  <c r="R802" i="5"/>
  <c r="Q802" i="5"/>
  <c r="P802" i="5"/>
  <c r="O802" i="5"/>
  <c r="L802" i="5"/>
  <c r="K802" i="5"/>
  <c r="M802" i="5" s="1"/>
  <c r="C53" i="51"/>
  <c r="Q602" i="5"/>
  <c r="G22" i="51"/>
  <c r="Y17" i="55"/>
  <c r="Y12" i="55"/>
  <c r="T50" i="55"/>
  <c r="V50" i="55"/>
  <c r="T676" i="5"/>
  <c r="S676" i="5"/>
  <c r="R676" i="5"/>
  <c r="Q676" i="5"/>
  <c r="P676" i="5"/>
  <c r="O676" i="5"/>
  <c r="L676" i="5"/>
  <c r="K676" i="5"/>
  <c r="M676" i="5" s="1"/>
  <c r="T675" i="5"/>
  <c r="S675" i="5"/>
  <c r="R675" i="5"/>
  <c r="Q675" i="5"/>
  <c r="P675" i="5"/>
  <c r="O675" i="5"/>
  <c r="L675" i="5"/>
  <c r="K675" i="5"/>
  <c r="M675" i="5" s="1"/>
  <c r="T674" i="5"/>
  <c r="S674" i="5"/>
  <c r="R674" i="5"/>
  <c r="Q674" i="5"/>
  <c r="P674" i="5"/>
  <c r="O674" i="5"/>
  <c r="L674" i="5"/>
  <c r="K674" i="5"/>
  <c r="M674" i="5" s="1"/>
  <c r="V56" i="55"/>
  <c r="V52" i="55"/>
  <c r="F101" i="55"/>
  <c r="F65" i="55"/>
  <c r="U88" i="55"/>
  <c r="V54" i="55"/>
  <c r="V53" i="55"/>
  <c r="U89" i="55"/>
  <c r="U76" i="55"/>
  <c r="X14" i="55"/>
  <c r="Y14" i="55"/>
  <c r="Y11" i="55"/>
  <c r="T98" i="55"/>
  <c r="T97" i="55"/>
  <c r="T90" i="55"/>
  <c r="T81" i="55"/>
  <c r="D64" i="55"/>
  <c r="F64" i="55"/>
  <c r="T677" i="5"/>
  <c r="S677" i="5"/>
  <c r="R677" i="5"/>
  <c r="Q677" i="5"/>
  <c r="P677" i="5"/>
  <c r="O677" i="5"/>
  <c r="L677" i="5"/>
  <c r="K677" i="5"/>
  <c r="M677" i="5" s="1"/>
  <c r="T680" i="5"/>
  <c r="S680" i="5"/>
  <c r="R680" i="5"/>
  <c r="Q680" i="5"/>
  <c r="P680" i="5"/>
  <c r="O680" i="5"/>
  <c r="L680" i="5"/>
  <c r="K680" i="5"/>
  <c r="M680" i="5" s="1"/>
  <c r="T681" i="5"/>
  <c r="S681" i="5"/>
  <c r="R681" i="5"/>
  <c r="Q681" i="5"/>
  <c r="P681" i="5"/>
  <c r="O681" i="5"/>
  <c r="L681" i="5"/>
  <c r="K681" i="5"/>
  <c r="M681" i="5" s="1"/>
  <c r="T682" i="5"/>
  <c r="S682" i="5"/>
  <c r="R682" i="5"/>
  <c r="Q682" i="5"/>
  <c r="P682" i="5"/>
  <c r="O682" i="5"/>
  <c r="L682" i="5"/>
  <c r="K682" i="5"/>
  <c r="M682" i="5" s="1"/>
  <c r="T684" i="5"/>
  <c r="S684" i="5"/>
  <c r="R684" i="5"/>
  <c r="Q684" i="5"/>
  <c r="P684" i="5"/>
  <c r="O684" i="5"/>
  <c r="L684" i="5"/>
  <c r="K684" i="5"/>
  <c r="M684" i="5" s="1"/>
  <c r="T683" i="5"/>
  <c r="S683" i="5"/>
  <c r="R683" i="5"/>
  <c r="Q683" i="5"/>
  <c r="P683" i="5"/>
  <c r="O683" i="5"/>
  <c r="L683" i="5"/>
  <c r="K683" i="5"/>
  <c r="M683" i="5" s="1"/>
  <c r="T694" i="5"/>
  <c r="S694" i="5"/>
  <c r="R694" i="5"/>
  <c r="Q694" i="5"/>
  <c r="P694" i="5"/>
  <c r="O694" i="5"/>
  <c r="L694" i="5"/>
  <c r="K694" i="5"/>
  <c r="M694" i="5" s="1"/>
  <c r="T697" i="5"/>
  <c r="S697" i="5"/>
  <c r="R697" i="5"/>
  <c r="Q697" i="5"/>
  <c r="P697" i="5"/>
  <c r="O697" i="5"/>
  <c r="L697" i="5"/>
  <c r="K697" i="5"/>
  <c r="M697" i="5" s="1"/>
  <c r="T695" i="5"/>
  <c r="S695" i="5"/>
  <c r="R695" i="5"/>
  <c r="Q695" i="5"/>
  <c r="P695" i="5"/>
  <c r="O695" i="5"/>
  <c r="L695" i="5"/>
  <c r="K695" i="5"/>
  <c r="M695" i="5" s="1"/>
  <c r="T698" i="5"/>
  <c r="S698" i="5"/>
  <c r="R698" i="5"/>
  <c r="Q698" i="5"/>
  <c r="P698" i="5"/>
  <c r="O698" i="5"/>
  <c r="L698" i="5"/>
  <c r="K698" i="5"/>
  <c r="M698" i="5" s="1"/>
  <c r="T699" i="5"/>
  <c r="S699" i="5"/>
  <c r="R699" i="5"/>
  <c r="Q699" i="5"/>
  <c r="P699" i="5"/>
  <c r="O699" i="5"/>
  <c r="L699" i="5"/>
  <c r="K699" i="5"/>
  <c r="M699" i="5" s="1"/>
  <c r="T700" i="5"/>
  <c r="S700" i="5"/>
  <c r="R700" i="5"/>
  <c r="Q700" i="5"/>
  <c r="P700" i="5"/>
  <c r="O700" i="5"/>
  <c r="L700" i="5"/>
  <c r="K700" i="5"/>
  <c r="M700" i="5" s="1"/>
  <c r="C40" i="51"/>
  <c r="S85" i="55"/>
  <c r="S79" i="55"/>
  <c r="F50" i="55"/>
  <c r="S96" i="55"/>
  <c r="S87" i="55"/>
  <c r="S86" i="55"/>
  <c r="S84" i="55"/>
  <c r="S83" i="55"/>
  <c r="S82" i="55"/>
  <c r="R99" i="55"/>
  <c r="R92" i="55"/>
  <c r="R80" i="55"/>
  <c r="R76" i="55"/>
  <c r="T65" i="55"/>
  <c r="T76" i="55"/>
  <c r="F58" i="55"/>
  <c r="T55" i="55"/>
  <c r="V55" i="55"/>
  <c r="S76" i="55"/>
  <c r="F59" i="55"/>
  <c r="U51" i="55"/>
  <c r="F61" i="55"/>
  <c r="U61" i="55"/>
  <c r="V51" i="55"/>
  <c r="S74" i="55"/>
  <c r="Y16" i="55"/>
  <c r="Y22" i="55"/>
  <c r="Y21" i="55"/>
  <c r="Y20" i="55"/>
  <c r="Y19" i="55"/>
  <c r="Y18" i="55"/>
  <c r="Y15" i="55"/>
  <c r="Y13" i="55"/>
  <c r="Y10" i="55"/>
  <c r="Y23" i="55"/>
  <c r="R74" i="55"/>
  <c r="R73" i="55"/>
  <c r="P673" i="5"/>
  <c r="O673" i="5"/>
  <c r="N673" i="5"/>
  <c r="M673" i="5"/>
  <c r="P672" i="5"/>
  <c r="O672" i="5"/>
  <c r="N672" i="5"/>
  <c r="T672" i="5" s="1"/>
  <c r="M672" i="5"/>
  <c r="P671" i="5"/>
  <c r="O671" i="5"/>
  <c r="N671" i="5"/>
  <c r="S671" i="5" s="1"/>
  <c r="M671" i="5"/>
  <c r="P670" i="5"/>
  <c r="O670" i="5"/>
  <c r="N670" i="5"/>
  <c r="T670" i="5" s="1"/>
  <c r="M670" i="5"/>
  <c r="P669" i="5"/>
  <c r="O669" i="5"/>
  <c r="N669" i="5"/>
  <c r="Q669" i="5" s="1"/>
  <c r="M669" i="5"/>
  <c r="P668" i="5"/>
  <c r="O668" i="5"/>
  <c r="N668" i="5"/>
  <c r="S668" i="5" s="1"/>
  <c r="M668" i="5"/>
  <c r="P667" i="5"/>
  <c r="O667" i="5"/>
  <c r="N667" i="5"/>
  <c r="T667" i="5" s="1"/>
  <c r="M667" i="5"/>
  <c r="O631" i="5"/>
  <c r="T559" i="5"/>
  <c r="S559" i="5"/>
  <c r="R559" i="5"/>
  <c r="Q559" i="5"/>
  <c r="T558" i="5"/>
  <c r="S558" i="5"/>
  <c r="R558" i="5"/>
  <c r="Q558" i="5"/>
  <c r="T557" i="5"/>
  <c r="S557" i="5"/>
  <c r="R557" i="5"/>
  <c r="Q557" i="5"/>
  <c r="T556" i="5"/>
  <c r="S556" i="5"/>
  <c r="R556" i="5"/>
  <c r="Q556" i="5"/>
  <c r="T553" i="5"/>
  <c r="S553" i="5"/>
  <c r="R553" i="5"/>
  <c r="Q553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1" i="5"/>
  <c r="M600" i="5"/>
  <c r="M599" i="5"/>
  <c r="M598" i="5"/>
  <c r="M597" i="5"/>
  <c r="M596" i="5"/>
  <c r="M586" i="5"/>
  <c r="M585" i="5"/>
  <c r="M584" i="5"/>
  <c r="M583" i="5"/>
  <c r="M559" i="5"/>
  <c r="M558" i="5"/>
  <c r="M557" i="5"/>
  <c r="M556" i="5"/>
  <c r="M554" i="5"/>
  <c r="N586" i="5"/>
  <c r="T586" i="5" s="1"/>
  <c r="N596" i="5"/>
  <c r="T596" i="5" s="1"/>
  <c r="N597" i="5"/>
  <c r="N598" i="5"/>
  <c r="S598" i="5" s="1"/>
  <c r="N599" i="5"/>
  <c r="S599" i="5" s="1"/>
  <c r="N600" i="5"/>
  <c r="T600" i="5" s="1"/>
  <c r="N601" i="5"/>
  <c r="T601" i="5" s="1"/>
  <c r="N603" i="5"/>
  <c r="N604" i="5"/>
  <c r="R604" i="5" s="1"/>
  <c r="N605" i="5"/>
  <c r="Q605" i="5" s="1"/>
  <c r="N606" i="5"/>
  <c r="Q606" i="5" s="1"/>
  <c r="N607" i="5"/>
  <c r="N608" i="5"/>
  <c r="R608" i="5" s="1"/>
  <c r="N609" i="5"/>
  <c r="Q609" i="5" s="1"/>
  <c r="N610" i="5"/>
  <c r="R610" i="5" s="1"/>
  <c r="N611" i="5"/>
  <c r="Q611" i="5" s="1"/>
  <c r="N612" i="5"/>
  <c r="Q612" i="5" s="1"/>
  <c r="N613" i="5"/>
  <c r="T613" i="5" s="1"/>
  <c r="N614" i="5"/>
  <c r="Q614" i="5" s="1"/>
  <c r="N615" i="5"/>
  <c r="S615" i="5" s="1"/>
  <c r="N616" i="5"/>
  <c r="S616" i="5" s="1"/>
  <c r="N617" i="5"/>
  <c r="N618" i="5"/>
  <c r="T618" i="5" s="1"/>
  <c r="N619" i="5"/>
  <c r="N620" i="5"/>
  <c r="R620" i="5" s="1"/>
  <c r="N621" i="5"/>
  <c r="S621" i="5" s="1"/>
  <c r="N622" i="5"/>
  <c r="T622" i="5" s="1"/>
  <c r="N623" i="5"/>
  <c r="N624" i="5"/>
  <c r="Q624" i="5" s="1"/>
  <c r="N625" i="5"/>
  <c r="T625" i="5" s="1"/>
  <c r="N626" i="5"/>
  <c r="T626" i="5" s="1"/>
  <c r="N627" i="5"/>
  <c r="Q627" i="5" s="1"/>
  <c r="N628" i="5"/>
  <c r="T628" i="5" s="1"/>
  <c r="N629" i="5"/>
  <c r="T629" i="5" s="1"/>
  <c r="N630" i="5"/>
  <c r="T630" i="5" s="1"/>
  <c r="N631" i="5"/>
  <c r="S631" i="5" s="1"/>
  <c r="N585" i="5"/>
  <c r="S585" i="5" s="1"/>
  <c r="O630" i="5"/>
  <c r="O629" i="5"/>
  <c r="O628" i="5"/>
  <c r="O627" i="5"/>
  <c r="O626" i="5"/>
  <c r="O625" i="5"/>
  <c r="O624" i="5"/>
  <c r="O623" i="5"/>
  <c r="O622" i="5"/>
  <c r="O621" i="5"/>
  <c r="O620" i="5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O603" i="5"/>
  <c r="O601" i="5"/>
  <c r="O600" i="5"/>
  <c r="O599" i="5"/>
  <c r="O598" i="5"/>
  <c r="O596" i="5"/>
  <c r="O586" i="5"/>
  <c r="O585" i="5"/>
  <c r="O597" i="5"/>
  <c r="F102" i="55"/>
  <c r="F76" i="55"/>
  <c r="F66" i="55"/>
  <c r="F68" i="55"/>
  <c r="T61" i="55"/>
  <c r="R601" i="5"/>
  <c r="P39" i="56"/>
  <c r="C6" i="57"/>
  <c r="D6" i="57"/>
  <c r="V61" i="55"/>
  <c r="W61" i="55"/>
  <c r="T64" i="55"/>
  <c r="T66" i="55"/>
  <c r="P631" i="5"/>
  <c r="P630" i="5"/>
  <c r="P629" i="5"/>
  <c r="P628" i="5"/>
  <c r="P627" i="5"/>
  <c r="P626" i="5"/>
  <c r="P625" i="5"/>
  <c r="P624" i="5"/>
  <c r="P623" i="5"/>
  <c r="P622" i="5"/>
  <c r="P621" i="5"/>
  <c r="P620" i="5"/>
  <c r="P619" i="5"/>
  <c r="P618" i="5"/>
  <c r="P617" i="5"/>
  <c r="P616" i="5"/>
  <c r="P615" i="5"/>
  <c r="P614" i="5"/>
  <c r="P613" i="5"/>
  <c r="P612" i="5"/>
  <c r="P611" i="5"/>
  <c r="P610" i="5"/>
  <c r="P609" i="5"/>
  <c r="P608" i="5"/>
  <c r="P607" i="5"/>
  <c r="P606" i="5"/>
  <c r="P605" i="5"/>
  <c r="P604" i="5"/>
  <c r="P603" i="5"/>
  <c r="P601" i="5"/>
  <c r="P600" i="5"/>
  <c r="P599" i="5"/>
  <c r="P598" i="5"/>
  <c r="P597" i="5"/>
  <c r="P596" i="5"/>
  <c r="P586" i="5"/>
  <c r="P585" i="5"/>
  <c r="P584" i="5"/>
  <c r="P583" i="5"/>
  <c r="P587" i="5"/>
  <c r="O587" i="5"/>
  <c r="N587" i="5"/>
  <c r="S587" i="5" s="1"/>
  <c r="M587" i="5"/>
  <c r="L587" i="5"/>
  <c r="O595" i="5"/>
  <c r="O593" i="5"/>
  <c r="P595" i="5"/>
  <c r="N595" i="5"/>
  <c r="R595" i="5" s="1"/>
  <c r="M595" i="5"/>
  <c r="L595" i="5"/>
  <c r="P594" i="5"/>
  <c r="O594" i="5"/>
  <c r="N594" i="5"/>
  <c r="M594" i="5"/>
  <c r="L594" i="5"/>
  <c r="P593" i="5"/>
  <c r="N593" i="5"/>
  <c r="Q593" i="5" s="1"/>
  <c r="M593" i="5"/>
  <c r="L593" i="5"/>
  <c r="P592" i="5"/>
  <c r="O592" i="5"/>
  <c r="N592" i="5"/>
  <c r="T592" i="5" s="1"/>
  <c r="M592" i="5"/>
  <c r="L592" i="5"/>
  <c r="P591" i="5"/>
  <c r="O591" i="5"/>
  <c r="N591" i="5"/>
  <c r="Q591" i="5" s="1"/>
  <c r="M591" i="5"/>
  <c r="L591" i="5"/>
  <c r="P590" i="5"/>
  <c r="O590" i="5"/>
  <c r="N590" i="5"/>
  <c r="R590" i="5" s="1"/>
  <c r="M590" i="5"/>
  <c r="L590" i="5"/>
  <c r="P589" i="5"/>
  <c r="O589" i="5"/>
  <c r="N589" i="5"/>
  <c r="R589" i="5" s="1"/>
  <c r="M589" i="5"/>
  <c r="L589" i="5"/>
  <c r="P588" i="5"/>
  <c r="O588" i="5"/>
  <c r="N588" i="5"/>
  <c r="M588" i="5"/>
  <c r="L588" i="5"/>
  <c r="K345" i="5"/>
  <c r="M345" i="5" s="1"/>
  <c r="K307" i="5"/>
  <c r="M307" i="5" s="1"/>
  <c r="L582" i="5"/>
  <c r="M582" i="5"/>
  <c r="N582" i="5"/>
  <c r="S582" i="5" s="1"/>
  <c r="O582" i="5"/>
  <c r="P582" i="5"/>
  <c r="P577" i="5"/>
  <c r="O577" i="5"/>
  <c r="N577" i="5"/>
  <c r="Q577" i="5" s="1"/>
  <c r="M577" i="5"/>
  <c r="L577" i="5"/>
  <c r="H566" i="5"/>
  <c r="O566" i="5" s="1"/>
  <c r="O584" i="5"/>
  <c r="N584" i="5"/>
  <c r="S584" i="5" s="1"/>
  <c r="L584" i="5"/>
  <c r="O583" i="5"/>
  <c r="N583" i="5"/>
  <c r="L583" i="5"/>
  <c r="P581" i="5"/>
  <c r="O581" i="5"/>
  <c r="N581" i="5"/>
  <c r="Q581" i="5" s="1"/>
  <c r="M581" i="5"/>
  <c r="L581" i="5"/>
  <c r="P580" i="5"/>
  <c r="O580" i="5"/>
  <c r="N580" i="5"/>
  <c r="Q580" i="5" s="1"/>
  <c r="M580" i="5"/>
  <c r="L580" i="5"/>
  <c r="P579" i="5"/>
  <c r="O579" i="5"/>
  <c r="N579" i="5"/>
  <c r="Q579" i="5" s="1"/>
  <c r="M579" i="5"/>
  <c r="L579" i="5"/>
  <c r="P578" i="5"/>
  <c r="O578" i="5"/>
  <c r="N578" i="5"/>
  <c r="M578" i="5"/>
  <c r="L578" i="5"/>
  <c r="P576" i="5"/>
  <c r="O576" i="5"/>
  <c r="N576" i="5"/>
  <c r="T576" i="5" s="1"/>
  <c r="M576" i="5"/>
  <c r="L576" i="5"/>
  <c r="P575" i="5"/>
  <c r="O575" i="5"/>
  <c r="N575" i="5"/>
  <c r="S575" i="5" s="1"/>
  <c r="M575" i="5"/>
  <c r="L575" i="5"/>
  <c r="P574" i="5"/>
  <c r="O574" i="5"/>
  <c r="N574" i="5"/>
  <c r="S574" i="5" s="1"/>
  <c r="M574" i="5"/>
  <c r="L574" i="5"/>
  <c r="P573" i="5"/>
  <c r="O573" i="5"/>
  <c r="N573" i="5"/>
  <c r="S573" i="5" s="1"/>
  <c r="M573" i="5"/>
  <c r="L573" i="5"/>
  <c r="P572" i="5"/>
  <c r="O572" i="5"/>
  <c r="N572" i="5"/>
  <c r="R572" i="5" s="1"/>
  <c r="M572" i="5"/>
  <c r="L572" i="5"/>
  <c r="P571" i="5"/>
  <c r="O571" i="5"/>
  <c r="N571" i="5"/>
  <c r="T571" i="5" s="1"/>
  <c r="M571" i="5"/>
  <c r="L571" i="5"/>
  <c r="P570" i="5"/>
  <c r="O570" i="5"/>
  <c r="N570" i="5"/>
  <c r="M570" i="5"/>
  <c r="L570" i="5"/>
  <c r="P569" i="5"/>
  <c r="O569" i="5"/>
  <c r="N569" i="5"/>
  <c r="S569" i="5" s="1"/>
  <c r="M569" i="5"/>
  <c r="L569" i="5"/>
  <c r="P568" i="5"/>
  <c r="O568" i="5"/>
  <c r="N568" i="5"/>
  <c r="M568" i="5"/>
  <c r="L568" i="5"/>
  <c r="P567" i="5"/>
  <c r="O567" i="5"/>
  <c r="N567" i="5"/>
  <c r="R567" i="5" s="1"/>
  <c r="M567" i="5"/>
  <c r="L567" i="5"/>
  <c r="P566" i="5"/>
  <c r="N566" i="5"/>
  <c r="Q566" i="5" s="1"/>
  <c r="M566" i="5"/>
  <c r="L566" i="5"/>
  <c r="P565" i="5"/>
  <c r="O565" i="5"/>
  <c r="N565" i="5"/>
  <c r="M565" i="5"/>
  <c r="L565" i="5"/>
  <c r="P564" i="5"/>
  <c r="O564" i="5"/>
  <c r="N564" i="5"/>
  <c r="R564" i="5" s="1"/>
  <c r="M564" i="5"/>
  <c r="L564" i="5"/>
  <c r="P563" i="5"/>
  <c r="O563" i="5"/>
  <c r="N563" i="5"/>
  <c r="Q563" i="5" s="1"/>
  <c r="M563" i="5"/>
  <c r="L563" i="5"/>
  <c r="P562" i="5"/>
  <c r="O562" i="5"/>
  <c r="N562" i="5"/>
  <c r="M562" i="5"/>
  <c r="L562" i="5"/>
  <c r="P561" i="5"/>
  <c r="O561" i="5"/>
  <c r="N561" i="5"/>
  <c r="Q561" i="5" s="1"/>
  <c r="M561" i="5"/>
  <c r="L561" i="5"/>
  <c r="P560" i="5"/>
  <c r="O560" i="5"/>
  <c r="N560" i="5"/>
  <c r="R560" i="5" s="1"/>
  <c r="M560" i="5"/>
  <c r="L560" i="5"/>
  <c r="P559" i="5"/>
  <c r="O559" i="5"/>
  <c r="P558" i="5"/>
  <c r="O558" i="5"/>
  <c r="P557" i="5"/>
  <c r="O557" i="5"/>
  <c r="P556" i="5"/>
  <c r="O556" i="5"/>
  <c r="P555" i="5"/>
  <c r="O555" i="5"/>
  <c r="N555" i="5"/>
  <c r="M555" i="5"/>
  <c r="L555" i="5"/>
  <c r="P554" i="5"/>
  <c r="O554" i="5"/>
  <c r="N554" i="5"/>
  <c r="S554" i="5" s="1"/>
  <c r="L554" i="5"/>
  <c r="I554" i="5"/>
  <c r="I555" i="5" s="1"/>
  <c r="I556" i="5" s="1"/>
  <c r="I557" i="5" s="1"/>
  <c r="I558" i="5" s="1"/>
  <c r="I559" i="5" s="1"/>
  <c r="I560" i="5" s="1"/>
  <c r="I561" i="5" s="1"/>
  <c r="I562" i="5" s="1"/>
  <c r="I563" i="5" s="1"/>
  <c r="I564" i="5" s="1"/>
  <c r="I565" i="5" s="1"/>
  <c r="I566" i="5" s="1"/>
  <c r="I567" i="5" s="1"/>
  <c r="I568" i="5" s="1"/>
  <c r="I569" i="5" s="1"/>
  <c r="I570" i="5" s="1"/>
  <c r="I571" i="5" s="1"/>
  <c r="I572" i="5" s="1"/>
  <c r="I573" i="5" s="1"/>
  <c r="I574" i="5" s="1"/>
  <c r="I575" i="5" s="1"/>
  <c r="I576" i="5" s="1"/>
  <c r="I577" i="5" s="1"/>
  <c r="I578" i="5" s="1"/>
  <c r="I579" i="5" s="1"/>
  <c r="I580" i="5" s="1"/>
  <c r="K6" i="54"/>
  <c r="K20" i="54"/>
  <c r="B33" i="54"/>
  <c r="B35" i="54"/>
  <c r="B37" i="54"/>
  <c r="O10" i="54"/>
  <c r="P7" i="54"/>
  <c r="P8" i="54"/>
  <c r="O11" i="54"/>
  <c r="O21" i="54"/>
  <c r="P20" i="54"/>
  <c r="P19" i="54"/>
  <c r="O19" i="54"/>
  <c r="M20" i="54"/>
  <c r="L20" i="54"/>
  <c r="J20" i="54"/>
  <c r="F20" i="54"/>
  <c r="E20" i="54"/>
  <c r="D20" i="54"/>
  <c r="O23" i="54"/>
  <c r="C20" i="54"/>
  <c r="Q10" i="54"/>
  <c r="O12" i="54"/>
  <c r="O14" i="54"/>
  <c r="O18" i="54"/>
  <c r="H542" i="5"/>
  <c r="O542" i="5" s="1"/>
  <c r="H541" i="5"/>
  <c r="O541" i="5" s="1"/>
  <c r="T541" i="5"/>
  <c r="S541" i="5"/>
  <c r="R541" i="5"/>
  <c r="Q541" i="5"/>
  <c r="P541" i="5"/>
  <c r="L541" i="5"/>
  <c r="K541" i="5"/>
  <c r="M541" i="5" s="1"/>
  <c r="T546" i="5"/>
  <c r="S546" i="5"/>
  <c r="R546" i="5"/>
  <c r="Q546" i="5"/>
  <c r="P546" i="5"/>
  <c r="O546" i="5"/>
  <c r="L546" i="5"/>
  <c r="K546" i="5"/>
  <c r="M546" i="5" s="1"/>
  <c r="H27" i="51"/>
  <c r="I27" i="51"/>
  <c r="C27" i="51"/>
  <c r="D27" i="51"/>
  <c r="E27" i="51"/>
  <c r="F27" i="51"/>
  <c r="G23" i="51"/>
  <c r="G24" i="51"/>
  <c r="K537" i="5"/>
  <c r="M537" i="5" s="1"/>
  <c r="L537" i="5"/>
  <c r="O537" i="5"/>
  <c r="P537" i="5"/>
  <c r="Q537" i="5"/>
  <c r="R537" i="5"/>
  <c r="S537" i="5"/>
  <c r="T537" i="5"/>
  <c r="K538" i="5"/>
  <c r="M538" i="5" s="1"/>
  <c r="L538" i="5"/>
  <c r="O538" i="5"/>
  <c r="P538" i="5"/>
  <c r="Q538" i="5"/>
  <c r="R538" i="5"/>
  <c r="S538" i="5"/>
  <c r="T538" i="5"/>
  <c r="K539" i="5"/>
  <c r="M539" i="5" s="1"/>
  <c r="L539" i="5"/>
  <c r="O539" i="5"/>
  <c r="P539" i="5"/>
  <c r="Q539" i="5"/>
  <c r="R539" i="5"/>
  <c r="S539" i="5"/>
  <c r="T539" i="5"/>
  <c r="K540" i="5"/>
  <c r="M540" i="5" s="1"/>
  <c r="L540" i="5"/>
  <c r="O540" i="5"/>
  <c r="P540" i="5"/>
  <c r="Q540" i="5"/>
  <c r="R540" i="5"/>
  <c r="S540" i="5"/>
  <c r="T540" i="5"/>
  <c r="K542" i="5"/>
  <c r="M542" i="5" s="1"/>
  <c r="L542" i="5"/>
  <c r="P542" i="5"/>
  <c r="Q542" i="5"/>
  <c r="R542" i="5"/>
  <c r="S542" i="5"/>
  <c r="T542" i="5"/>
  <c r="K543" i="5"/>
  <c r="M543" i="5" s="1"/>
  <c r="L543" i="5"/>
  <c r="O543" i="5"/>
  <c r="P543" i="5"/>
  <c r="Q543" i="5"/>
  <c r="R543" i="5"/>
  <c r="S543" i="5"/>
  <c r="T543" i="5"/>
  <c r="K544" i="5"/>
  <c r="M544" i="5" s="1"/>
  <c r="L544" i="5"/>
  <c r="O544" i="5"/>
  <c r="P544" i="5"/>
  <c r="Q544" i="5"/>
  <c r="R544" i="5"/>
  <c r="S544" i="5"/>
  <c r="T544" i="5"/>
  <c r="K545" i="5"/>
  <c r="M545" i="5" s="1"/>
  <c r="L545" i="5"/>
  <c r="O545" i="5"/>
  <c r="P545" i="5"/>
  <c r="Q545" i="5"/>
  <c r="R545" i="5"/>
  <c r="S545" i="5"/>
  <c r="T545" i="5"/>
  <c r="K547" i="5"/>
  <c r="M547" i="5" s="1"/>
  <c r="L547" i="5"/>
  <c r="O547" i="5"/>
  <c r="P547" i="5"/>
  <c r="Q547" i="5"/>
  <c r="R547" i="5"/>
  <c r="S547" i="5"/>
  <c r="T547" i="5"/>
  <c r="K548" i="5"/>
  <c r="M548" i="5" s="1"/>
  <c r="L548" i="5"/>
  <c r="O548" i="5"/>
  <c r="P548" i="5"/>
  <c r="Q548" i="5"/>
  <c r="R548" i="5"/>
  <c r="S548" i="5"/>
  <c r="T548" i="5"/>
  <c r="K549" i="5"/>
  <c r="M549" i="5" s="1"/>
  <c r="L549" i="5"/>
  <c r="O549" i="5"/>
  <c r="P549" i="5"/>
  <c r="Q549" i="5"/>
  <c r="R549" i="5"/>
  <c r="S549" i="5"/>
  <c r="T549" i="5"/>
  <c r="K550" i="5"/>
  <c r="M550" i="5" s="1"/>
  <c r="L550" i="5"/>
  <c r="O550" i="5"/>
  <c r="P550" i="5"/>
  <c r="Q550" i="5"/>
  <c r="R550" i="5"/>
  <c r="S550" i="5"/>
  <c r="T550" i="5"/>
  <c r="K551" i="5"/>
  <c r="M551" i="5" s="1"/>
  <c r="L551" i="5"/>
  <c r="O551" i="5"/>
  <c r="P551" i="5"/>
  <c r="Q551" i="5"/>
  <c r="R551" i="5"/>
  <c r="S551" i="5"/>
  <c r="T551" i="5"/>
  <c r="K552" i="5"/>
  <c r="M552" i="5" s="1"/>
  <c r="L552" i="5"/>
  <c r="O552" i="5"/>
  <c r="P552" i="5"/>
  <c r="Q552" i="5"/>
  <c r="R552" i="5"/>
  <c r="S552" i="5"/>
  <c r="T552" i="5"/>
  <c r="K553" i="5"/>
  <c r="M553" i="5" s="1"/>
  <c r="L553" i="5"/>
  <c r="O553" i="5"/>
  <c r="P553" i="5"/>
  <c r="C19" i="51"/>
  <c r="T534" i="5"/>
  <c r="S534" i="5"/>
  <c r="R534" i="5"/>
  <c r="Q534" i="5"/>
  <c r="P534" i="5"/>
  <c r="O534" i="5"/>
  <c r="L534" i="5"/>
  <c r="K534" i="5"/>
  <c r="M534" i="5" s="1"/>
  <c r="C9" i="51"/>
  <c r="T536" i="5"/>
  <c r="S536" i="5"/>
  <c r="R536" i="5"/>
  <c r="Q536" i="5"/>
  <c r="P536" i="5"/>
  <c r="O536" i="5"/>
  <c r="L536" i="5"/>
  <c r="K536" i="5"/>
  <c r="M536" i="5" s="1"/>
  <c r="P504" i="5"/>
  <c r="O504" i="5"/>
  <c r="N504" i="5"/>
  <c r="M504" i="5"/>
  <c r="L504" i="5"/>
  <c r="P503" i="5"/>
  <c r="O503" i="5"/>
  <c r="N503" i="5"/>
  <c r="T503" i="5" s="1"/>
  <c r="M503" i="5"/>
  <c r="L503" i="5"/>
  <c r="P535" i="5"/>
  <c r="O535" i="5"/>
  <c r="L535" i="5"/>
  <c r="K535" i="5"/>
  <c r="M535" i="5" s="1"/>
  <c r="K506" i="5"/>
  <c r="M506" i="5" s="1"/>
  <c r="K513" i="5"/>
  <c r="M513" i="5" s="1"/>
  <c r="K514" i="5"/>
  <c r="M514" i="5" s="1"/>
  <c r="K515" i="5"/>
  <c r="M515" i="5" s="1"/>
  <c r="K516" i="5"/>
  <c r="M516" i="5" s="1"/>
  <c r="K522" i="5"/>
  <c r="M522" i="5" s="1"/>
  <c r="K523" i="5"/>
  <c r="M523" i="5" s="1"/>
  <c r="K524" i="5"/>
  <c r="M524" i="5" s="1"/>
  <c r="K525" i="5"/>
  <c r="M525" i="5" s="1"/>
  <c r="K528" i="5"/>
  <c r="M528" i="5" s="1"/>
  <c r="K529" i="5"/>
  <c r="M529" i="5" s="1"/>
  <c r="K530" i="5"/>
  <c r="M530" i="5" s="1"/>
  <c r="K531" i="5"/>
  <c r="M531" i="5" s="1"/>
  <c r="K532" i="5"/>
  <c r="M532" i="5" s="1"/>
  <c r="K533" i="5"/>
  <c r="M533" i="5" s="1"/>
  <c r="P523" i="5"/>
  <c r="O523" i="5"/>
  <c r="L523" i="5"/>
  <c r="P513" i="5"/>
  <c r="O513" i="5"/>
  <c r="L513" i="5"/>
  <c r="P528" i="5"/>
  <c r="O528" i="5"/>
  <c r="L528" i="5"/>
  <c r="O529" i="5"/>
  <c r="O530" i="5"/>
  <c r="O531" i="5"/>
  <c r="O532" i="5"/>
  <c r="O533" i="5"/>
  <c r="L502" i="5"/>
  <c r="L533" i="5"/>
  <c r="L532" i="5"/>
  <c r="L531" i="5"/>
  <c r="L530" i="5"/>
  <c r="L527" i="5"/>
  <c r="L529" i="5"/>
  <c r="L526" i="5"/>
  <c r="L525" i="5"/>
  <c r="L524" i="5"/>
  <c r="L522" i="5"/>
  <c r="L521" i="5"/>
  <c r="L520" i="5"/>
  <c r="L519" i="5"/>
  <c r="L518" i="5"/>
  <c r="L517" i="5"/>
  <c r="L516" i="5"/>
  <c r="L515" i="5"/>
  <c r="L514" i="5"/>
  <c r="L512" i="5"/>
  <c r="L511" i="5"/>
  <c r="L510" i="5"/>
  <c r="L509" i="5"/>
  <c r="L508" i="5"/>
  <c r="L507" i="5"/>
  <c r="L506" i="5"/>
  <c r="L505" i="5"/>
  <c r="Q527" i="5"/>
  <c r="R527" i="5"/>
  <c r="S527" i="5"/>
  <c r="T527" i="5"/>
  <c r="Q526" i="5"/>
  <c r="R526" i="5"/>
  <c r="S526" i="5"/>
  <c r="T526" i="5"/>
  <c r="Q521" i="5"/>
  <c r="R521" i="5"/>
  <c r="S521" i="5"/>
  <c r="T521" i="5"/>
  <c r="Q520" i="5"/>
  <c r="R520" i="5"/>
  <c r="S520" i="5"/>
  <c r="T520" i="5"/>
  <c r="Q518" i="5"/>
  <c r="R518" i="5"/>
  <c r="S518" i="5"/>
  <c r="T518" i="5"/>
  <c r="Q517" i="5"/>
  <c r="R517" i="5"/>
  <c r="S517" i="5"/>
  <c r="T517" i="5"/>
  <c r="Q512" i="5"/>
  <c r="R512" i="5"/>
  <c r="S512" i="5"/>
  <c r="T512" i="5"/>
  <c r="Q511" i="5"/>
  <c r="R511" i="5"/>
  <c r="S511" i="5"/>
  <c r="T511" i="5"/>
  <c r="Q510" i="5"/>
  <c r="R510" i="5"/>
  <c r="S510" i="5"/>
  <c r="T510" i="5"/>
  <c r="Q507" i="5"/>
  <c r="R507" i="5"/>
  <c r="S507" i="5"/>
  <c r="T507" i="5"/>
  <c r="Q505" i="5"/>
  <c r="R505" i="5"/>
  <c r="S505" i="5"/>
  <c r="T505" i="5"/>
  <c r="C5" i="51"/>
  <c r="K505" i="5"/>
  <c r="M505" i="5" s="1"/>
  <c r="K507" i="5"/>
  <c r="M507" i="5" s="1"/>
  <c r="K508" i="5"/>
  <c r="M508" i="5" s="1"/>
  <c r="K509" i="5"/>
  <c r="M509" i="5" s="1"/>
  <c r="K510" i="5"/>
  <c r="M510" i="5" s="1"/>
  <c r="K511" i="5"/>
  <c r="M511" i="5" s="1"/>
  <c r="K512" i="5"/>
  <c r="M512" i="5" s="1"/>
  <c r="K517" i="5"/>
  <c r="M517" i="5" s="1"/>
  <c r="K518" i="5"/>
  <c r="M518" i="5" s="1"/>
  <c r="K519" i="5"/>
  <c r="M519" i="5" s="1"/>
  <c r="K520" i="5"/>
  <c r="M520" i="5" s="1"/>
  <c r="K521" i="5"/>
  <c r="M521" i="5" s="1"/>
  <c r="K526" i="5"/>
  <c r="M526" i="5" s="1"/>
  <c r="K527" i="5"/>
  <c r="M527" i="5" s="1"/>
  <c r="P533" i="5"/>
  <c r="P532" i="5"/>
  <c r="P531" i="5"/>
  <c r="P530" i="5"/>
  <c r="O527" i="5"/>
  <c r="P527" i="5"/>
  <c r="P529" i="5"/>
  <c r="O526" i="5"/>
  <c r="P526" i="5"/>
  <c r="O525" i="5"/>
  <c r="P525" i="5"/>
  <c r="O524" i="5"/>
  <c r="P524" i="5"/>
  <c r="O522" i="5"/>
  <c r="P522" i="5"/>
  <c r="O521" i="5"/>
  <c r="P521" i="5"/>
  <c r="O520" i="5"/>
  <c r="P520" i="5"/>
  <c r="O519" i="5"/>
  <c r="P519" i="5"/>
  <c r="O518" i="5"/>
  <c r="P518" i="5"/>
  <c r="O517" i="5"/>
  <c r="P517" i="5"/>
  <c r="O516" i="5"/>
  <c r="P516" i="5"/>
  <c r="O515" i="5"/>
  <c r="P515" i="5"/>
  <c r="O514" i="5"/>
  <c r="P514" i="5"/>
  <c r="O512" i="5"/>
  <c r="P512" i="5"/>
  <c r="O511" i="5"/>
  <c r="P511" i="5"/>
  <c r="O510" i="5"/>
  <c r="P510" i="5"/>
  <c r="O509" i="5"/>
  <c r="P509" i="5"/>
  <c r="O508" i="5"/>
  <c r="P508" i="5"/>
  <c r="O507" i="5"/>
  <c r="P507" i="5"/>
  <c r="O506" i="5"/>
  <c r="P506" i="5"/>
  <c r="O505" i="5"/>
  <c r="P505" i="5"/>
  <c r="P500" i="5"/>
  <c r="O500" i="5"/>
  <c r="L500" i="5"/>
  <c r="I500" i="5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P502" i="5"/>
  <c r="O502" i="5"/>
  <c r="P501" i="5"/>
  <c r="O501" i="5"/>
  <c r="L501" i="5"/>
  <c r="M23" i="50"/>
  <c r="L23" i="50"/>
  <c r="L28" i="50" s="1"/>
  <c r="K23" i="50"/>
  <c r="K28" i="50" s="1"/>
  <c r="N22" i="50"/>
  <c r="N21" i="50"/>
  <c r="N13" i="50"/>
  <c r="N12" i="50"/>
  <c r="D43" i="50"/>
  <c r="P462" i="5"/>
  <c r="O462" i="5"/>
  <c r="N462" i="5"/>
  <c r="R462" i="5" s="1"/>
  <c r="M462" i="5"/>
  <c r="L462" i="5"/>
  <c r="M460" i="5"/>
  <c r="G455" i="5"/>
  <c r="O455" i="5" s="1"/>
  <c r="P455" i="5"/>
  <c r="N455" i="5"/>
  <c r="R455" i="5" s="1"/>
  <c r="M455" i="5"/>
  <c r="L455" i="5"/>
  <c r="G268" i="5"/>
  <c r="P269" i="5"/>
  <c r="O269" i="5"/>
  <c r="N269" i="5"/>
  <c r="Q269" i="5" s="1"/>
  <c r="M269" i="5"/>
  <c r="L269" i="5"/>
  <c r="P268" i="5"/>
  <c r="N268" i="5"/>
  <c r="Q268" i="5" s="1"/>
  <c r="M268" i="5"/>
  <c r="L268" i="5"/>
  <c r="P499" i="5"/>
  <c r="O499" i="5"/>
  <c r="N499" i="5"/>
  <c r="M499" i="5"/>
  <c r="L499" i="5"/>
  <c r="C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7" i="5"/>
  <c r="O466" i="5"/>
  <c r="O465" i="5"/>
  <c r="O464" i="5"/>
  <c r="O463" i="5"/>
  <c r="P487" i="5"/>
  <c r="N487" i="5"/>
  <c r="Q487" i="5" s="1"/>
  <c r="M487" i="5"/>
  <c r="L487" i="5"/>
  <c r="P488" i="5"/>
  <c r="N488" i="5"/>
  <c r="R488" i="5" s="1"/>
  <c r="M488" i="5"/>
  <c r="L488" i="5"/>
  <c r="P470" i="5"/>
  <c r="N470" i="5"/>
  <c r="M470" i="5"/>
  <c r="L470" i="5"/>
  <c r="P469" i="5"/>
  <c r="N469" i="5"/>
  <c r="Q469" i="5" s="1"/>
  <c r="M469" i="5"/>
  <c r="L469" i="5"/>
  <c r="I469" i="5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P498" i="5"/>
  <c r="N498" i="5"/>
  <c r="M498" i="5"/>
  <c r="L498" i="5"/>
  <c r="P497" i="5"/>
  <c r="N497" i="5"/>
  <c r="T497" i="5" s="1"/>
  <c r="M497" i="5"/>
  <c r="L497" i="5"/>
  <c r="P496" i="5"/>
  <c r="N496" i="5"/>
  <c r="S496" i="5" s="1"/>
  <c r="M496" i="5"/>
  <c r="L496" i="5"/>
  <c r="P495" i="5"/>
  <c r="N495" i="5"/>
  <c r="Q495" i="5" s="1"/>
  <c r="M495" i="5"/>
  <c r="L495" i="5"/>
  <c r="P494" i="5"/>
  <c r="N494" i="5"/>
  <c r="Q494" i="5" s="1"/>
  <c r="M494" i="5"/>
  <c r="L494" i="5"/>
  <c r="P493" i="5"/>
  <c r="N493" i="5"/>
  <c r="T493" i="5" s="1"/>
  <c r="M493" i="5"/>
  <c r="L493" i="5"/>
  <c r="P492" i="5"/>
  <c r="N492" i="5"/>
  <c r="Q492" i="5" s="1"/>
  <c r="M492" i="5"/>
  <c r="L492" i="5"/>
  <c r="P491" i="5"/>
  <c r="N491" i="5"/>
  <c r="R491" i="5" s="1"/>
  <c r="M491" i="5"/>
  <c r="L491" i="5"/>
  <c r="P490" i="5"/>
  <c r="N490" i="5"/>
  <c r="S490" i="5" s="1"/>
  <c r="M490" i="5"/>
  <c r="L490" i="5"/>
  <c r="P489" i="5"/>
  <c r="N489" i="5"/>
  <c r="Q489" i="5" s="1"/>
  <c r="M489" i="5"/>
  <c r="L489" i="5"/>
  <c r="P486" i="5"/>
  <c r="N486" i="5"/>
  <c r="S486" i="5" s="1"/>
  <c r="M486" i="5"/>
  <c r="L486" i="5"/>
  <c r="P485" i="5"/>
  <c r="N485" i="5"/>
  <c r="R485" i="5" s="1"/>
  <c r="M485" i="5"/>
  <c r="L485" i="5"/>
  <c r="P484" i="5"/>
  <c r="N484" i="5"/>
  <c r="Q484" i="5" s="1"/>
  <c r="M484" i="5"/>
  <c r="L484" i="5"/>
  <c r="P483" i="5"/>
  <c r="N483" i="5"/>
  <c r="Q483" i="5" s="1"/>
  <c r="M483" i="5"/>
  <c r="L483" i="5"/>
  <c r="P482" i="5"/>
  <c r="N482" i="5"/>
  <c r="M482" i="5"/>
  <c r="L482" i="5"/>
  <c r="P481" i="5"/>
  <c r="N481" i="5"/>
  <c r="T481" i="5" s="1"/>
  <c r="M481" i="5"/>
  <c r="L481" i="5"/>
  <c r="P480" i="5"/>
  <c r="N480" i="5"/>
  <c r="M480" i="5"/>
  <c r="L480" i="5"/>
  <c r="P479" i="5"/>
  <c r="N479" i="5"/>
  <c r="S479" i="5" s="1"/>
  <c r="M479" i="5"/>
  <c r="L479" i="5"/>
  <c r="P478" i="5"/>
  <c r="N478" i="5"/>
  <c r="S478" i="5" s="1"/>
  <c r="M478" i="5"/>
  <c r="L478" i="5"/>
  <c r="P477" i="5"/>
  <c r="N477" i="5"/>
  <c r="R477" i="5" s="1"/>
  <c r="M477" i="5"/>
  <c r="L477" i="5"/>
  <c r="P476" i="5"/>
  <c r="N476" i="5"/>
  <c r="S476" i="5" s="1"/>
  <c r="M476" i="5"/>
  <c r="L476" i="5"/>
  <c r="P475" i="5"/>
  <c r="N475" i="5"/>
  <c r="S475" i="5" s="1"/>
  <c r="M475" i="5"/>
  <c r="L475" i="5"/>
  <c r="P474" i="5"/>
  <c r="P473" i="5"/>
  <c r="P472" i="5"/>
  <c r="P471" i="5"/>
  <c r="N467" i="5"/>
  <c r="T467" i="5" s="1"/>
  <c r="N466" i="5"/>
  <c r="R466" i="5" s="1"/>
  <c r="M466" i="5"/>
  <c r="P467" i="5"/>
  <c r="L467" i="5"/>
  <c r="M467" i="5"/>
  <c r="P466" i="5"/>
  <c r="L466" i="5"/>
  <c r="P464" i="5"/>
  <c r="P465" i="5"/>
  <c r="L465" i="5"/>
  <c r="K465" i="5"/>
  <c r="M465" i="5" s="1"/>
  <c r="L464" i="5"/>
  <c r="K464" i="5"/>
  <c r="M464" i="5" s="1"/>
  <c r="P454" i="5"/>
  <c r="O454" i="5"/>
  <c r="N454" i="5"/>
  <c r="R454" i="5" s="1"/>
  <c r="M454" i="5"/>
  <c r="L454" i="5"/>
  <c r="O457" i="5"/>
  <c r="O458" i="5"/>
  <c r="O459" i="5"/>
  <c r="O460" i="5"/>
  <c r="O461" i="5"/>
  <c r="N463" i="5"/>
  <c r="S463" i="5" s="1"/>
  <c r="N461" i="5"/>
  <c r="Q461" i="5" s="1"/>
  <c r="N460" i="5"/>
  <c r="S460" i="5" s="1"/>
  <c r="N459" i="5"/>
  <c r="T459" i="5" s="1"/>
  <c r="N458" i="5"/>
  <c r="Q458" i="5" s="1"/>
  <c r="N457" i="5"/>
  <c r="Q457" i="5" s="1"/>
  <c r="L463" i="5"/>
  <c r="L461" i="5"/>
  <c r="L460" i="5"/>
  <c r="L459" i="5"/>
  <c r="L458" i="5"/>
  <c r="L457" i="5"/>
  <c r="L456" i="5"/>
  <c r="L453" i="5"/>
  <c r="L452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7" i="5"/>
  <c r="P457" i="5"/>
  <c r="P458" i="5"/>
  <c r="P459" i="5"/>
  <c r="P460" i="5"/>
  <c r="P461" i="5"/>
  <c r="P463" i="5"/>
  <c r="M463" i="5"/>
  <c r="M461" i="5"/>
  <c r="M459" i="5"/>
  <c r="M458" i="5"/>
  <c r="M457" i="5"/>
  <c r="M348" i="5"/>
  <c r="M456" i="5"/>
  <c r="P456" i="5"/>
  <c r="O456" i="5"/>
  <c r="N456" i="5"/>
  <c r="R456" i="5" s="1"/>
  <c r="P453" i="5"/>
  <c r="O453" i="5"/>
  <c r="N453" i="5"/>
  <c r="R453" i="5" s="1"/>
  <c r="M453" i="5"/>
  <c r="P452" i="5"/>
  <c r="O452" i="5"/>
  <c r="N452" i="5"/>
  <c r="Q452" i="5" s="1"/>
  <c r="M452" i="5"/>
  <c r="M451" i="5"/>
  <c r="P451" i="5"/>
  <c r="O451" i="5"/>
  <c r="N451" i="5"/>
  <c r="S451" i="5" s="1"/>
  <c r="L451" i="5"/>
  <c r="P450" i="5"/>
  <c r="O450" i="5"/>
  <c r="N450" i="5"/>
  <c r="Q450" i="5" s="1"/>
  <c r="M450" i="5"/>
  <c r="L450" i="5"/>
  <c r="P449" i="5"/>
  <c r="O449" i="5"/>
  <c r="N449" i="5"/>
  <c r="S449" i="5" s="1"/>
  <c r="M449" i="5"/>
  <c r="L449" i="5"/>
  <c r="P448" i="5"/>
  <c r="O448" i="5"/>
  <c r="N448" i="5"/>
  <c r="Q448" i="5" s="1"/>
  <c r="M448" i="5"/>
  <c r="L448" i="5"/>
  <c r="P447" i="5"/>
  <c r="O447" i="5"/>
  <c r="N447" i="5"/>
  <c r="Q447" i="5" s="1"/>
  <c r="M447" i="5"/>
  <c r="L447" i="5"/>
  <c r="P446" i="5"/>
  <c r="O446" i="5"/>
  <c r="N446" i="5"/>
  <c r="S446" i="5" s="1"/>
  <c r="M446" i="5"/>
  <c r="L446" i="5"/>
  <c r="P445" i="5"/>
  <c r="O445" i="5"/>
  <c r="N445" i="5"/>
  <c r="Q445" i="5" s="1"/>
  <c r="M445" i="5"/>
  <c r="L445" i="5"/>
  <c r="P444" i="5"/>
  <c r="O444" i="5"/>
  <c r="N444" i="5"/>
  <c r="S444" i="5" s="1"/>
  <c r="M444" i="5"/>
  <c r="L444" i="5"/>
  <c r="P443" i="5"/>
  <c r="O443" i="5"/>
  <c r="N443" i="5"/>
  <c r="T443" i="5" s="1"/>
  <c r="M443" i="5"/>
  <c r="L443" i="5"/>
  <c r="P442" i="5"/>
  <c r="O442" i="5"/>
  <c r="N442" i="5"/>
  <c r="R442" i="5" s="1"/>
  <c r="M442" i="5"/>
  <c r="L442" i="5"/>
  <c r="P441" i="5"/>
  <c r="O441" i="5"/>
  <c r="N441" i="5"/>
  <c r="R441" i="5" s="1"/>
  <c r="M441" i="5"/>
  <c r="L441" i="5"/>
  <c r="P440" i="5"/>
  <c r="O440" i="5"/>
  <c r="N440" i="5"/>
  <c r="T440" i="5" s="1"/>
  <c r="M440" i="5"/>
  <c r="L440" i="5"/>
  <c r="P439" i="5"/>
  <c r="O439" i="5"/>
  <c r="N439" i="5"/>
  <c r="T439" i="5" s="1"/>
  <c r="M439" i="5"/>
  <c r="L439" i="5"/>
  <c r="P438" i="5"/>
  <c r="O438" i="5"/>
  <c r="N438" i="5"/>
  <c r="S438" i="5" s="1"/>
  <c r="M438" i="5"/>
  <c r="L438" i="5"/>
  <c r="P437" i="5"/>
  <c r="O437" i="5"/>
  <c r="N437" i="5"/>
  <c r="M437" i="5"/>
  <c r="L437" i="5"/>
  <c r="P436" i="5"/>
  <c r="O436" i="5"/>
  <c r="N436" i="5"/>
  <c r="R436" i="5" s="1"/>
  <c r="M436" i="5"/>
  <c r="L436" i="5"/>
  <c r="P435" i="5"/>
  <c r="O435" i="5"/>
  <c r="N435" i="5"/>
  <c r="M435" i="5"/>
  <c r="L435" i="5"/>
  <c r="P434" i="5"/>
  <c r="O434" i="5"/>
  <c r="N434" i="5"/>
  <c r="T434" i="5" s="1"/>
  <c r="M434" i="5"/>
  <c r="L434" i="5"/>
  <c r="P433" i="5"/>
  <c r="O433" i="5"/>
  <c r="N433" i="5"/>
  <c r="R433" i="5" s="1"/>
  <c r="M433" i="5"/>
  <c r="L433" i="5"/>
  <c r="P432" i="5"/>
  <c r="O432" i="5"/>
  <c r="N432" i="5"/>
  <c r="M432" i="5"/>
  <c r="L432" i="5"/>
  <c r="P431" i="5"/>
  <c r="O431" i="5"/>
  <c r="N431" i="5"/>
  <c r="Q431" i="5" s="1"/>
  <c r="M431" i="5"/>
  <c r="L431" i="5"/>
  <c r="P375" i="5"/>
  <c r="O375" i="5"/>
  <c r="N375" i="5"/>
  <c r="R375" i="5" s="1"/>
  <c r="M375" i="5"/>
  <c r="L375" i="5"/>
  <c r="P374" i="5"/>
  <c r="O374" i="5"/>
  <c r="N374" i="5"/>
  <c r="R374" i="5" s="1"/>
  <c r="M374" i="5"/>
  <c r="L374" i="5"/>
  <c r="P373" i="5"/>
  <c r="O373" i="5"/>
  <c r="N373" i="5"/>
  <c r="T373" i="5" s="1"/>
  <c r="M373" i="5"/>
  <c r="L373" i="5"/>
  <c r="P372" i="5"/>
  <c r="O372" i="5"/>
  <c r="N372" i="5"/>
  <c r="S372" i="5" s="1"/>
  <c r="M372" i="5"/>
  <c r="L372" i="5"/>
  <c r="P371" i="5"/>
  <c r="N371" i="5"/>
  <c r="T371" i="5" s="1"/>
  <c r="M371" i="5"/>
  <c r="L371" i="5"/>
  <c r="G371" i="5"/>
  <c r="O371" i="5" s="1"/>
  <c r="P370" i="5"/>
  <c r="O370" i="5"/>
  <c r="N370" i="5"/>
  <c r="S370" i="5" s="1"/>
  <c r="M370" i="5"/>
  <c r="L370" i="5"/>
  <c r="P369" i="5"/>
  <c r="N369" i="5"/>
  <c r="T369" i="5" s="1"/>
  <c r="M369" i="5"/>
  <c r="L369" i="5"/>
  <c r="G369" i="5"/>
  <c r="O369" i="5" s="1"/>
  <c r="P368" i="5"/>
  <c r="O368" i="5"/>
  <c r="N368" i="5"/>
  <c r="T368" i="5" s="1"/>
  <c r="M368" i="5"/>
  <c r="L368" i="5"/>
  <c r="P367" i="5"/>
  <c r="O367" i="5"/>
  <c r="N367" i="5"/>
  <c r="T367" i="5" s="1"/>
  <c r="M367" i="5"/>
  <c r="L367" i="5"/>
  <c r="P366" i="5"/>
  <c r="O366" i="5"/>
  <c r="N366" i="5"/>
  <c r="T366" i="5" s="1"/>
  <c r="M366" i="5"/>
  <c r="L366" i="5"/>
  <c r="P365" i="5"/>
  <c r="O365" i="5"/>
  <c r="N365" i="5"/>
  <c r="R365" i="5" s="1"/>
  <c r="M365" i="5"/>
  <c r="L365" i="5"/>
  <c r="P364" i="5"/>
  <c r="O364" i="5"/>
  <c r="N364" i="5"/>
  <c r="Q364" i="5" s="1"/>
  <c r="M364" i="5"/>
  <c r="L364" i="5"/>
  <c r="P363" i="5"/>
  <c r="O363" i="5"/>
  <c r="N363" i="5"/>
  <c r="S363" i="5" s="1"/>
  <c r="M363" i="5"/>
  <c r="L363" i="5"/>
  <c r="P362" i="5"/>
  <c r="O362" i="5"/>
  <c r="N362" i="5"/>
  <c r="S362" i="5" s="1"/>
  <c r="M362" i="5"/>
  <c r="L362" i="5"/>
  <c r="P361" i="5"/>
  <c r="O361" i="5"/>
  <c r="N361" i="5"/>
  <c r="M361" i="5"/>
  <c r="L361" i="5"/>
  <c r="P360" i="5"/>
  <c r="O360" i="5"/>
  <c r="N360" i="5"/>
  <c r="Q360" i="5" s="1"/>
  <c r="M360" i="5"/>
  <c r="L360" i="5"/>
  <c r="P359" i="5"/>
  <c r="O359" i="5"/>
  <c r="N359" i="5"/>
  <c r="S359" i="5" s="1"/>
  <c r="M359" i="5"/>
  <c r="L359" i="5"/>
  <c r="P358" i="5"/>
  <c r="O358" i="5"/>
  <c r="N358" i="5"/>
  <c r="T358" i="5" s="1"/>
  <c r="M358" i="5"/>
  <c r="L358" i="5"/>
  <c r="P357" i="5"/>
  <c r="O357" i="5"/>
  <c r="N357" i="5"/>
  <c r="T357" i="5" s="1"/>
  <c r="M357" i="5"/>
  <c r="L357" i="5"/>
  <c r="P356" i="5"/>
  <c r="N356" i="5"/>
  <c r="R356" i="5" s="1"/>
  <c r="M356" i="5"/>
  <c r="L356" i="5"/>
  <c r="H356" i="5"/>
  <c r="O356" i="5" s="1"/>
  <c r="P355" i="5"/>
  <c r="O355" i="5"/>
  <c r="N355" i="5"/>
  <c r="M355" i="5"/>
  <c r="L355" i="5"/>
  <c r="P354" i="5"/>
  <c r="O354" i="5"/>
  <c r="N354" i="5"/>
  <c r="Q354" i="5" s="1"/>
  <c r="M354" i="5"/>
  <c r="L354" i="5"/>
  <c r="P353" i="5"/>
  <c r="O353" i="5"/>
  <c r="N353" i="5"/>
  <c r="R353" i="5" s="1"/>
  <c r="M353" i="5"/>
  <c r="L353" i="5"/>
  <c r="P352" i="5"/>
  <c r="O352" i="5"/>
  <c r="N352" i="5"/>
  <c r="S352" i="5" s="1"/>
  <c r="M352" i="5"/>
  <c r="L352" i="5"/>
  <c r="P351" i="5"/>
  <c r="O351" i="5"/>
  <c r="N351" i="5"/>
  <c r="S351" i="5" s="1"/>
  <c r="M351" i="5"/>
  <c r="L351" i="5"/>
  <c r="P350" i="5"/>
  <c r="O350" i="5"/>
  <c r="N350" i="5"/>
  <c r="S350" i="5" s="1"/>
  <c r="M350" i="5"/>
  <c r="L350" i="5"/>
  <c r="S345" i="5"/>
  <c r="O345" i="5"/>
  <c r="P345" i="5"/>
  <c r="M346" i="5"/>
  <c r="N346" i="5"/>
  <c r="T346" i="5" s="1"/>
  <c r="O346" i="5"/>
  <c r="P346" i="5"/>
  <c r="M347" i="5"/>
  <c r="N347" i="5"/>
  <c r="S347" i="5" s="1"/>
  <c r="O347" i="5"/>
  <c r="P347" i="5"/>
  <c r="N348" i="5"/>
  <c r="O348" i="5"/>
  <c r="P348" i="5"/>
  <c r="M349" i="5"/>
  <c r="N349" i="5"/>
  <c r="R349" i="5" s="1"/>
  <c r="O349" i="5"/>
  <c r="P349" i="5"/>
  <c r="R345" i="5"/>
  <c r="Q345" i="5"/>
  <c r="T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7" i="5"/>
  <c r="M266" i="5"/>
  <c r="P344" i="5"/>
  <c r="O344" i="5"/>
  <c r="N344" i="5"/>
  <c r="S344" i="5" s="1"/>
  <c r="P301" i="5"/>
  <c r="O301" i="5"/>
  <c r="N301" i="5"/>
  <c r="Q301" i="5" s="1"/>
  <c r="P343" i="5"/>
  <c r="O343" i="5"/>
  <c r="N343" i="5"/>
  <c r="R343" i="5" s="1"/>
  <c r="P342" i="5"/>
  <c r="O342" i="5"/>
  <c r="N342" i="5"/>
  <c r="P341" i="5"/>
  <c r="O341" i="5"/>
  <c r="N341" i="5"/>
  <c r="R341" i="5" s="1"/>
  <c r="P340" i="5"/>
  <c r="O340" i="5"/>
  <c r="N340" i="5"/>
  <c r="P339" i="5"/>
  <c r="O339" i="5"/>
  <c r="N339" i="5"/>
  <c r="S339" i="5" s="1"/>
  <c r="P338" i="5"/>
  <c r="O338" i="5"/>
  <c r="N338" i="5"/>
  <c r="S338" i="5" s="1"/>
  <c r="P337" i="5"/>
  <c r="O337" i="5"/>
  <c r="N337" i="5"/>
  <c r="Q337" i="5" s="1"/>
  <c r="P336" i="5"/>
  <c r="O336" i="5"/>
  <c r="N336" i="5"/>
  <c r="S336" i="5" s="1"/>
  <c r="P335" i="5"/>
  <c r="O335" i="5"/>
  <c r="N335" i="5"/>
  <c r="R335" i="5" s="1"/>
  <c r="P334" i="5"/>
  <c r="O334" i="5"/>
  <c r="N334" i="5"/>
  <c r="P333" i="5"/>
  <c r="O333" i="5"/>
  <c r="N333" i="5"/>
  <c r="S333" i="5" s="1"/>
  <c r="P332" i="5"/>
  <c r="O332" i="5"/>
  <c r="N332" i="5"/>
  <c r="S332" i="5" s="1"/>
  <c r="P331" i="5"/>
  <c r="O331" i="5"/>
  <c r="N331" i="5"/>
  <c r="R331" i="5" s="1"/>
  <c r="P330" i="5"/>
  <c r="O330" i="5"/>
  <c r="N330" i="5"/>
  <c r="S330" i="5" s="1"/>
  <c r="P329" i="5"/>
  <c r="O329" i="5"/>
  <c r="N329" i="5"/>
  <c r="R329" i="5" s="1"/>
  <c r="P328" i="5"/>
  <c r="O328" i="5"/>
  <c r="N328" i="5"/>
  <c r="Q328" i="5" s="1"/>
  <c r="P327" i="5"/>
  <c r="O327" i="5"/>
  <c r="N327" i="5"/>
  <c r="T327" i="5" s="1"/>
  <c r="P326" i="5"/>
  <c r="O326" i="5"/>
  <c r="N326" i="5"/>
  <c r="Q326" i="5" s="1"/>
  <c r="P325" i="5"/>
  <c r="O325" i="5"/>
  <c r="N325" i="5"/>
  <c r="Q325" i="5" s="1"/>
  <c r="P324" i="5"/>
  <c r="O324" i="5"/>
  <c r="N324" i="5"/>
  <c r="Q324" i="5" s="1"/>
  <c r="P323" i="5"/>
  <c r="O323" i="5"/>
  <c r="N323" i="5"/>
  <c r="R323" i="5" s="1"/>
  <c r="P322" i="5"/>
  <c r="O322" i="5"/>
  <c r="N322" i="5"/>
  <c r="T322" i="5" s="1"/>
  <c r="P321" i="5"/>
  <c r="O321" i="5"/>
  <c r="N321" i="5"/>
  <c r="T321" i="5" s="1"/>
  <c r="P320" i="5"/>
  <c r="O320" i="5"/>
  <c r="N320" i="5"/>
  <c r="T320" i="5" s="1"/>
  <c r="P319" i="5"/>
  <c r="O319" i="5"/>
  <c r="N319" i="5"/>
  <c r="Q319" i="5" s="1"/>
  <c r="P318" i="5"/>
  <c r="O318" i="5"/>
  <c r="N318" i="5"/>
  <c r="Q318" i="5" s="1"/>
  <c r="P317" i="5"/>
  <c r="O317" i="5"/>
  <c r="N317" i="5"/>
  <c r="R317" i="5" s="1"/>
  <c r="P316" i="5"/>
  <c r="O316" i="5"/>
  <c r="N316" i="5"/>
  <c r="R316" i="5" s="1"/>
  <c r="P315" i="5"/>
  <c r="O315" i="5"/>
  <c r="N315" i="5"/>
  <c r="T315" i="5" s="1"/>
  <c r="P314" i="5"/>
  <c r="O314" i="5"/>
  <c r="N314" i="5"/>
  <c r="R314" i="5" s="1"/>
  <c r="P313" i="5"/>
  <c r="O313" i="5"/>
  <c r="N313" i="5"/>
  <c r="P312" i="5"/>
  <c r="O312" i="5"/>
  <c r="N312" i="5"/>
  <c r="S312" i="5" s="1"/>
  <c r="P311" i="5"/>
  <c r="O311" i="5"/>
  <c r="N311" i="5"/>
  <c r="R311" i="5" s="1"/>
  <c r="P310" i="5"/>
  <c r="O310" i="5"/>
  <c r="N310" i="5"/>
  <c r="P309" i="5"/>
  <c r="O309" i="5"/>
  <c r="N309" i="5"/>
  <c r="S309" i="5" s="1"/>
  <c r="P308" i="5"/>
  <c r="O308" i="5"/>
  <c r="N308" i="5"/>
  <c r="T308" i="5" s="1"/>
  <c r="P307" i="5"/>
  <c r="O307" i="5"/>
  <c r="P306" i="5"/>
  <c r="O306" i="5"/>
  <c r="N306" i="5"/>
  <c r="P305" i="5"/>
  <c r="O305" i="5"/>
  <c r="N305" i="5"/>
  <c r="Q305" i="5" s="1"/>
  <c r="P304" i="5"/>
  <c r="O304" i="5"/>
  <c r="N304" i="5"/>
  <c r="Q304" i="5" s="1"/>
  <c r="P303" i="5"/>
  <c r="O303" i="5"/>
  <c r="N303" i="5"/>
  <c r="S303" i="5" s="1"/>
  <c r="P302" i="5"/>
  <c r="O302" i="5"/>
  <c r="N302" i="5"/>
  <c r="T302" i="5" s="1"/>
  <c r="P300" i="5"/>
  <c r="O300" i="5"/>
  <c r="N300" i="5"/>
  <c r="S300" i="5" s="1"/>
  <c r="P299" i="5"/>
  <c r="O299" i="5"/>
  <c r="N299" i="5"/>
  <c r="S299" i="5" s="1"/>
  <c r="P298" i="5"/>
  <c r="O298" i="5"/>
  <c r="N298" i="5"/>
  <c r="T298" i="5" s="1"/>
  <c r="P297" i="5"/>
  <c r="O297" i="5"/>
  <c r="N297" i="5"/>
  <c r="T297" i="5" s="1"/>
  <c r="P296" i="5"/>
  <c r="O296" i="5"/>
  <c r="N296" i="5"/>
  <c r="T296" i="5" s="1"/>
  <c r="P295" i="5"/>
  <c r="O295" i="5"/>
  <c r="N295" i="5"/>
  <c r="S295" i="5" s="1"/>
  <c r="P294" i="5"/>
  <c r="O294" i="5"/>
  <c r="N294" i="5"/>
  <c r="R294" i="5" s="1"/>
  <c r="P293" i="5"/>
  <c r="O293" i="5"/>
  <c r="N293" i="5"/>
  <c r="S293" i="5" s="1"/>
  <c r="P292" i="5"/>
  <c r="O292" i="5"/>
  <c r="N292" i="5"/>
  <c r="T292" i="5" s="1"/>
  <c r="P291" i="5"/>
  <c r="O291" i="5"/>
  <c r="N291" i="5"/>
  <c r="R291" i="5" s="1"/>
  <c r="P290" i="5"/>
  <c r="O290" i="5"/>
  <c r="N290" i="5"/>
  <c r="S290" i="5" s="1"/>
  <c r="P289" i="5"/>
  <c r="O289" i="5"/>
  <c r="N289" i="5"/>
  <c r="R289" i="5" s="1"/>
  <c r="P288" i="5"/>
  <c r="O288" i="5"/>
  <c r="N288" i="5"/>
  <c r="S288" i="5" s="1"/>
  <c r="P287" i="5"/>
  <c r="O287" i="5"/>
  <c r="N287" i="5"/>
  <c r="S287" i="5" s="1"/>
  <c r="P286" i="5"/>
  <c r="O286" i="5"/>
  <c r="N286" i="5"/>
  <c r="T286" i="5" s="1"/>
  <c r="P285" i="5"/>
  <c r="O285" i="5"/>
  <c r="N285" i="5"/>
  <c r="S285" i="5" s="1"/>
  <c r="P284" i="5"/>
  <c r="O284" i="5"/>
  <c r="N284" i="5"/>
  <c r="R284" i="5" s="1"/>
  <c r="P283" i="5"/>
  <c r="O283" i="5"/>
  <c r="N283" i="5"/>
  <c r="Q283" i="5" s="1"/>
  <c r="P282" i="5"/>
  <c r="O282" i="5"/>
  <c r="N282" i="5"/>
  <c r="T282" i="5" s="1"/>
  <c r="P281" i="5"/>
  <c r="O281" i="5"/>
  <c r="N281" i="5"/>
  <c r="Q281" i="5" s="1"/>
  <c r="P280" i="5"/>
  <c r="O280" i="5"/>
  <c r="N280" i="5"/>
  <c r="T280" i="5" s="1"/>
  <c r="P279" i="5"/>
  <c r="O279" i="5"/>
  <c r="N279" i="5"/>
  <c r="R279" i="5" s="1"/>
  <c r="P278" i="5"/>
  <c r="O278" i="5"/>
  <c r="N278" i="5"/>
  <c r="T278" i="5" s="1"/>
  <c r="P277" i="5"/>
  <c r="O277" i="5"/>
  <c r="N277" i="5"/>
  <c r="R277" i="5" s="1"/>
  <c r="P276" i="5"/>
  <c r="O276" i="5"/>
  <c r="N276" i="5"/>
  <c r="R276" i="5" s="1"/>
  <c r="P275" i="5"/>
  <c r="O275" i="5"/>
  <c r="N275" i="5"/>
  <c r="R275" i="5" s="1"/>
  <c r="P274" i="5"/>
  <c r="O274" i="5"/>
  <c r="N274" i="5"/>
  <c r="Q274" i="5" s="1"/>
  <c r="P273" i="5"/>
  <c r="O273" i="5"/>
  <c r="N273" i="5"/>
  <c r="T273" i="5" s="1"/>
  <c r="P272" i="5"/>
  <c r="O272" i="5"/>
  <c r="N272" i="5"/>
  <c r="Q272" i="5" s="1"/>
  <c r="P271" i="5"/>
  <c r="O271" i="5"/>
  <c r="N271" i="5"/>
  <c r="P270" i="5"/>
  <c r="O270" i="5"/>
  <c r="N270" i="5"/>
  <c r="C271" i="5"/>
  <c r="C272" i="5" s="1"/>
  <c r="C273" i="5" s="1"/>
  <c r="C274" i="5" s="1"/>
  <c r="C275" i="5" s="1"/>
  <c r="C276" i="5" s="1"/>
  <c r="C277" i="5" s="1"/>
  <c r="T307" i="5"/>
  <c r="S307" i="5"/>
  <c r="Q307" i="5"/>
  <c r="R307" i="5"/>
  <c r="I221" i="5"/>
  <c r="I222" i="5" s="1"/>
  <c r="H228" i="5"/>
  <c r="O228" i="5" s="1"/>
  <c r="N224" i="5"/>
  <c r="R224" i="5" s="1"/>
  <c r="P224" i="5"/>
  <c r="O224" i="5"/>
  <c r="M224" i="5"/>
  <c r="L224" i="5"/>
  <c r="N225" i="5"/>
  <c r="R225" i="5" s="1"/>
  <c r="P225" i="5"/>
  <c r="O225" i="5"/>
  <c r="M225" i="5"/>
  <c r="L225" i="5"/>
  <c r="G259" i="5"/>
  <c r="O259" i="5" s="1"/>
  <c r="G261" i="5"/>
  <c r="O261" i="5" s="1"/>
  <c r="N237" i="5"/>
  <c r="R237" i="5" s="1"/>
  <c r="P237" i="5"/>
  <c r="O237" i="5"/>
  <c r="M237" i="5"/>
  <c r="L237" i="5"/>
  <c r="N236" i="5"/>
  <c r="P236" i="5"/>
  <c r="O236" i="5"/>
  <c r="M236" i="5"/>
  <c r="L236" i="5"/>
  <c r="N235" i="5"/>
  <c r="T235" i="5" s="1"/>
  <c r="P235" i="5"/>
  <c r="O235" i="5"/>
  <c r="M235" i="5"/>
  <c r="L235" i="5"/>
  <c r="N259" i="5"/>
  <c r="T259" i="5" s="1"/>
  <c r="P259" i="5"/>
  <c r="M259" i="5"/>
  <c r="L259" i="5"/>
  <c r="N223" i="5"/>
  <c r="S223" i="5" s="1"/>
  <c r="P223" i="5"/>
  <c r="O223" i="5"/>
  <c r="M223" i="5"/>
  <c r="L223" i="5"/>
  <c r="N222" i="5"/>
  <c r="R222" i="5" s="1"/>
  <c r="P222" i="5"/>
  <c r="O222" i="5"/>
  <c r="M222" i="5"/>
  <c r="L222" i="5"/>
  <c r="N265" i="5"/>
  <c r="S265" i="5" s="1"/>
  <c r="N264" i="5"/>
  <c r="R264" i="5" s="1"/>
  <c r="N263" i="5"/>
  <c r="R263" i="5" s="1"/>
  <c r="N262" i="5"/>
  <c r="R262" i="5" s="1"/>
  <c r="N261" i="5"/>
  <c r="Q261" i="5" s="1"/>
  <c r="N260" i="5"/>
  <c r="R260" i="5" s="1"/>
  <c r="N258" i="5"/>
  <c r="R258" i="5" s="1"/>
  <c r="N257" i="5"/>
  <c r="R257" i="5" s="1"/>
  <c r="N256" i="5"/>
  <c r="Q256" i="5" s="1"/>
  <c r="N255" i="5"/>
  <c r="Q255" i="5" s="1"/>
  <c r="N254" i="5"/>
  <c r="R254" i="5" s="1"/>
  <c r="N253" i="5"/>
  <c r="S253" i="5" s="1"/>
  <c r="N252" i="5"/>
  <c r="T252" i="5" s="1"/>
  <c r="N251" i="5"/>
  <c r="S251" i="5" s="1"/>
  <c r="N250" i="5"/>
  <c r="T250" i="5" s="1"/>
  <c r="N249" i="5"/>
  <c r="R249" i="5" s="1"/>
  <c r="N248" i="5"/>
  <c r="T248" i="5" s="1"/>
  <c r="N247" i="5"/>
  <c r="R247" i="5" s="1"/>
  <c r="N246" i="5"/>
  <c r="T246" i="5" s="1"/>
  <c r="N245" i="5"/>
  <c r="T245" i="5" s="1"/>
  <c r="N244" i="5"/>
  <c r="T244" i="5" s="1"/>
  <c r="N243" i="5"/>
  <c r="Q243" i="5" s="1"/>
  <c r="N242" i="5"/>
  <c r="T242" i="5" s="1"/>
  <c r="N241" i="5"/>
  <c r="T241" i="5" s="1"/>
  <c r="N240" i="5"/>
  <c r="T240" i="5" s="1"/>
  <c r="N239" i="5"/>
  <c r="R239" i="5" s="1"/>
  <c r="N238" i="5"/>
  <c r="R238" i="5" s="1"/>
  <c r="N234" i="5"/>
  <c r="Q234" i="5" s="1"/>
  <c r="N233" i="5"/>
  <c r="R233" i="5" s="1"/>
  <c r="N232" i="5"/>
  <c r="T232" i="5" s="1"/>
  <c r="N231" i="5"/>
  <c r="T231" i="5" s="1"/>
  <c r="N230" i="5"/>
  <c r="R230" i="5" s="1"/>
  <c r="N229" i="5"/>
  <c r="T229" i="5" s="1"/>
  <c r="N228" i="5"/>
  <c r="S228" i="5" s="1"/>
  <c r="N227" i="5"/>
  <c r="N226" i="5"/>
  <c r="T226" i="5" s="1"/>
  <c r="N221" i="5"/>
  <c r="S221" i="5" s="1"/>
  <c r="N266" i="5"/>
  <c r="R266" i="5" s="1"/>
  <c r="P266" i="5"/>
  <c r="O266" i="5"/>
  <c r="L266" i="5"/>
  <c r="C266" i="5"/>
  <c r="P256" i="5"/>
  <c r="O256" i="5"/>
  <c r="M256" i="5"/>
  <c r="L256" i="5"/>
  <c r="P255" i="5"/>
  <c r="O255" i="5"/>
  <c r="M255" i="5"/>
  <c r="L255" i="5"/>
  <c r="P253" i="5"/>
  <c r="O253" i="5"/>
  <c r="M253" i="5"/>
  <c r="L253" i="5"/>
  <c r="P252" i="5"/>
  <c r="O252" i="5"/>
  <c r="M252" i="5"/>
  <c r="L252" i="5"/>
  <c r="P250" i="5"/>
  <c r="O250" i="5"/>
  <c r="M250" i="5"/>
  <c r="L250" i="5"/>
  <c r="P249" i="5"/>
  <c r="O249" i="5"/>
  <c r="M249" i="5"/>
  <c r="L249" i="5"/>
  <c r="P247" i="5"/>
  <c r="O247" i="5"/>
  <c r="M247" i="5"/>
  <c r="L247" i="5"/>
  <c r="P246" i="5"/>
  <c r="O246" i="5"/>
  <c r="M246" i="5"/>
  <c r="L246" i="5"/>
  <c r="P245" i="5"/>
  <c r="O245" i="5"/>
  <c r="M245" i="5"/>
  <c r="L245" i="5"/>
  <c r="P244" i="5"/>
  <c r="O244" i="5"/>
  <c r="M244" i="5"/>
  <c r="L244" i="5"/>
  <c r="P242" i="5"/>
  <c r="O242" i="5"/>
  <c r="M242" i="5"/>
  <c r="L242" i="5"/>
  <c r="P241" i="5"/>
  <c r="O241" i="5"/>
  <c r="M241" i="5"/>
  <c r="L241" i="5"/>
  <c r="P240" i="5"/>
  <c r="O240" i="5"/>
  <c r="M240" i="5"/>
  <c r="L240" i="5"/>
  <c r="L248" i="5"/>
  <c r="L251" i="5"/>
  <c r="L254" i="5"/>
  <c r="L226" i="5"/>
  <c r="L227" i="5"/>
  <c r="L228" i="5"/>
  <c r="L229" i="5"/>
  <c r="L230" i="5"/>
  <c r="L231" i="5"/>
  <c r="L232" i="5"/>
  <c r="L233" i="5"/>
  <c r="L234" i="5"/>
  <c r="L238" i="5"/>
  <c r="L239" i="5"/>
  <c r="L243" i="5"/>
  <c r="L257" i="5"/>
  <c r="L258" i="5"/>
  <c r="L260" i="5"/>
  <c r="L261" i="5"/>
  <c r="L262" i="5"/>
  <c r="L263" i="5"/>
  <c r="L264" i="5"/>
  <c r="L265" i="5"/>
  <c r="L221" i="5"/>
  <c r="P251" i="5"/>
  <c r="O251" i="5"/>
  <c r="M251" i="5"/>
  <c r="P230" i="5"/>
  <c r="O230" i="5"/>
  <c r="M230" i="5"/>
  <c r="C267" i="5"/>
  <c r="N267" i="5"/>
  <c r="T267" i="5" s="1"/>
  <c r="P267" i="5"/>
  <c r="O267" i="5"/>
  <c r="P265" i="5"/>
  <c r="O265" i="5"/>
  <c r="M265" i="5"/>
  <c r="P264" i="5"/>
  <c r="O264" i="5"/>
  <c r="M264" i="5"/>
  <c r="P263" i="5"/>
  <c r="O263" i="5"/>
  <c r="M263" i="5"/>
  <c r="P262" i="5"/>
  <c r="O262" i="5"/>
  <c r="M262" i="5"/>
  <c r="P261" i="5"/>
  <c r="M261" i="5"/>
  <c r="P260" i="5"/>
  <c r="O260" i="5"/>
  <c r="M260" i="5"/>
  <c r="P258" i="5"/>
  <c r="O258" i="5"/>
  <c r="M258" i="5"/>
  <c r="P257" i="5"/>
  <c r="O257" i="5"/>
  <c r="M257" i="5"/>
  <c r="P254" i="5"/>
  <c r="O254" i="5"/>
  <c r="M254" i="5"/>
  <c r="P248" i="5"/>
  <c r="O248" i="5"/>
  <c r="M248" i="5"/>
  <c r="P243" i="5"/>
  <c r="O243" i="5"/>
  <c r="M243" i="5"/>
  <c r="P239" i="5"/>
  <c r="O239" i="5"/>
  <c r="M239" i="5"/>
  <c r="P238" i="5"/>
  <c r="O238" i="5"/>
  <c r="M238" i="5"/>
  <c r="P234" i="5"/>
  <c r="O234" i="5"/>
  <c r="M234" i="5"/>
  <c r="P233" i="5"/>
  <c r="O233" i="5"/>
  <c r="M233" i="5"/>
  <c r="P232" i="5"/>
  <c r="O232" i="5"/>
  <c r="M232" i="5"/>
  <c r="P231" i="5"/>
  <c r="O231" i="5"/>
  <c r="M231" i="5"/>
  <c r="P229" i="5"/>
  <c r="O229" i="5"/>
  <c r="M229" i="5"/>
  <c r="P228" i="5"/>
  <c r="M228" i="5"/>
  <c r="P227" i="5"/>
  <c r="O227" i="5"/>
  <c r="P226" i="5"/>
  <c r="O226" i="5"/>
  <c r="M226" i="5"/>
  <c r="P221" i="5"/>
  <c r="O221" i="5"/>
  <c r="M221" i="5"/>
  <c r="I72" i="5"/>
  <c r="I41" i="5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H73" i="5"/>
  <c r="O73" i="5" s="1"/>
  <c r="H105" i="5"/>
  <c r="O105" i="5" s="1"/>
  <c r="H107" i="5"/>
  <c r="O107" i="5" s="1"/>
  <c r="H136" i="5"/>
  <c r="O136" i="5" s="1"/>
  <c r="H139" i="5"/>
  <c r="O139" i="5" s="1"/>
  <c r="H214" i="5"/>
  <c r="O214" i="5" s="1"/>
  <c r="P220" i="5"/>
  <c r="O220" i="5"/>
  <c r="K220" i="5"/>
  <c r="M220" i="5" s="1"/>
  <c r="L220" i="5"/>
  <c r="P219" i="5"/>
  <c r="O219" i="5"/>
  <c r="K219" i="5"/>
  <c r="M219" i="5" s="1"/>
  <c r="L219" i="5"/>
  <c r="P218" i="5"/>
  <c r="O218" i="5"/>
  <c r="K218" i="5"/>
  <c r="M218" i="5" s="1"/>
  <c r="L218" i="5"/>
  <c r="P217" i="5"/>
  <c r="O217" i="5"/>
  <c r="K217" i="5"/>
  <c r="M217" i="5" s="1"/>
  <c r="L217" i="5"/>
  <c r="P67" i="5"/>
  <c r="O67" i="5"/>
  <c r="M67" i="5"/>
  <c r="L67" i="5"/>
  <c r="P66" i="5"/>
  <c r="O66" i="5"/>
  <c r="M66" i="5"/>
  <c r="L66" i="5"/>
  <c r="P65" i="5"/>
  <c r="O65" i="5"/>
  <c r="M65" i="5"/>
  <c r="L65" i="5"/>
  <c r="T54" i="5"/>
  <c r="S54" i="5"/>
  <c r="R54" i="5"/>
  <c r="Q54" i="5"/>
  <c r="P54" i="5"/>
  <c r="O54" i="5"/>
  <c r="M54" i="5"/>
  <c r="L54" i="5"/>
  <c r="T55" i="5"/>
  <c r="S55" i="5"/>
  <c r="R55" i="5"/>
  <c r="Q55" i="5"/>
  <c r="P55" i="5"/>
  <c r="O55" i="5"/>
  <c r="M55" i="5"/>
  <c r="L55" i="5"/>
  <c r="T53" i="5"/>
  <c r="S53" i="5"/>
  <c r="R53" i="5"/>
  <c r="Q53" i="5"/>
  <c r="P53" i="5"/>
  <c r="O53" i="5"/>
  <c r="M53" i="5"/>
  <c r="L53" i="5"/>
  <c r="N216" i="5"/>
  <c r="S216" i="5" s="1"/>
  <c r="P216" i="5"/>
  <c r="O216" i="5"/>
  <c r="M216" i="5"/>
  <c r="L216" i="5"/>
  <c r="N215" i="5"/>
  <c r="R215" i="5" s="1"/>
  <c r="P215" i="5"/>
  <c r="O215" i="5"/>
  <c r="M215" i="5"/>
  <c r="L215" i="5"/>
  <c r="N213" i="5"/>
  <c r="R213" i="5" s="1"/>
  <c r="T72" i="5"/>
  <c r="S72" i="5"/>
  <c r="R72" i="5"/>
  <c r="Q72" i="5"/>
  <c r="P72" i="5"/>
  <c r="O72" i="5"/>
  <c r="M72" i="5"/>
  <c r="L72" i="5"/>
  <c r="N214" i="5"/>
  <c r="P214" i="5"/>
  <c r="M214" i="5"/>
  <c r="L214" i="5"/>
  <c r="C212" i="5"/>
  <c r="C214" i="5" s="1"/>
  <c r="P213" i="5"/>
  <c r="O213" i="5"/>
  <c r="M213" i="5"/>
  <c r="L213" i="5"/>
  <c r="C213" i="5"/>
  <c r="N212" i="5"/>
  <c r="S212" i="5" s="1"/>
  <c r="P212" i="5"/>
  <c r="O212" i="5"/>
  <c r="M212" i="5"/>
  <c r="L212" i="5"/>
  <c r="L139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M211" i="5"/>
  <c r="N211" i="5"/>
  <c r="Q211" i="5" s="1"/>
  <c r="O211" i="5"/>
  <c r="P211" i="5"/>
  <c r="N96" i="5"/>
  <c r="S96" i="5" s="1"/>
  <c r="O96" i="5"/>
  <c r="P96" i="5"/>
  <c r="M96" i="5"/>
  <c r="N206" i="5"/>
  <c r="R206" i="5" s="1"/>
  <c r="P206" i="5"/>
  <c r="O206" i="5"/>
  <c r="M206" i="5"/>
  <c r="N166" i="5"/>
  <c r="R166" i="5" s="1"/>
  <c r="P166" i="5"/>
  <c r="O166" i="5"/>
  <c r="M166" i="5"/>
  <c r="G10" i="5"/>
  <c r="N210" i="5"/>
  <c r="R210" i="5" s="1"/>
  <c r="P210" i="5"/>
  <c r="O210" i="5"/>
  <c r="M210" i="5"/>
  <c r="N209" i="5"/>
  <c r="S209" i="5" s="1"/>
  <c r="P209" i="5"/>
  <c r="O209" i="5"/>
  <c r="M209" i="5"/>
  <c r="M164" i="5"/>
  <c r="N164" i="5"/>
  <c r="R164" i="5" s="1"/>
  <c r="O164" i="5"/>
  <c r="P164" i="5"/>
  <c r="M165" i="5"/>
  <c r="N165" i="5"/>
  <c r="R165" i="5" s="1"/>
  <c r="O165" i="5"/>
  <c r="P165" i="5"/>
  <c r="M167" i="5"/>
  <c r="N167" i="5"/>
  <c r="R167" i="5" s="1"/>
  <c r="O167" i="5"/>
  <c r="P167" i="5"/>
  <c r="M168" i="5"/>
  <c r="N168" i="5"/>
  <c r="R168" i="5" s="1"/>
  <c r="O168" i="5"/>
  <c r="P168" i="5"/>
  <c r="M169" i="5"/>
  <c r="N169" i="5"/>
  <c r="R169" i="5" s="1"/>
  <c r="O169" i="5"/>
  <c r="P169" i="5"/>
  <c r="M170" i="5"/>
  <c r="N170" i="5"/>
  <c r="R170" i="5" s="1"/>
  <c r="O170" i="5"/>
  <c r="P170" i="5"/>
  <c r="M171" i="5"/>
  <c r="N171" i="5"/>
  <c r="O171" i="5"/>
  <c r="P171" i="5"/>
  <c r="M172" i="5"/>
  <c r="N172" i="5"/>
  <c r="R172" i="5" s="1"/>
  <c r="O172" i="5"/>
  <c r="P172" i="5"/>
  <c r="M173" i="5"/>
  <c r="N173" i="5"/>
  <c r="Q173" i="5" s="1"/>
  <c r="O173" i="5"/>
  <c r="P173" i="5"/>
  <c r="M174" i="5"/>
  <c r="N174" i="5"/>
  <c r="R174" i="5" s="1"/>
  <c r="O174" i="5"/>
  <c r="P174" i="5"/>
  <c r="M175" i="5"/>
  <c r="N175" i="5"/>
  <c r="Q175" i="5" s="1"/>
  <c r="O175" i="5"/>
  <c r="P175" i="5"/>
  <c r="M176" i="5"/>
  <c r="N176" i="5"/>
  <c r="R176" i="5" s="1"/>
  <c r="O176" i="5"/>
  <c r="P176" i="5"/>
  <c r="M177" i="5"/>
  <c r="N177" i="5"/>
  <c r="Q177" i="5" s="1"/>
  <c r="O177" i="5"/>
  <c r="P177" i="5"/>
  <c r="M178" i="5"/>
  <c r="N178" i="5"/>
  <c r="Q178" i="5" s="1"/>
  <c r="O178" i="5"/>
  <c r="P178" i="5"/>
  <c r="M179" i="5"/>
  <c r="N179" i="5"/>
  <c r="S179" i="5" s="1"/>
  <c r="O179" i="5"/>
  <c r="P179" i="5"/>
  <c r="M180" i="5"/>
  <c r="N180" i="5"/>
  <c r="S180" i="5" s="1"/>
  <c r="O180" i="5"/>
  <c r="P180" i="5"/>
  <c r="M181" i="5"/>
  <c r="N181" i="5"/>
  <c r="R181" i="5" s="1"/>
  <c r="O181" i="5"/>
  <c r="P181" i="5"/>
  <c r="M182" i="5"/>
  <c r="N182" i="5"/>
  <c r="T182" i="5" s="1"/>
  <c r="O182" i="5"/>
  <c r="P182" i="5"/>
  <c r="M183" i="5"/>
  <c r="N183" i="5"/>
  <c r="O183" i="5"/>
  <c r="P183" i="5"/>
  <c r="M184" i="5"/>
  <c r="N184" i="5"/>
  <c r="S184" i="5" s="1"/>
  <c r="O184" i="5"/>
  <c r="P184" i="5"/>
  <c r="M185" i="5"/>
  <c r="N185" i="5"/>
  <c r="R185" i="5" s="1"/>
  <c r="O185" i="5"/>
  <c r="P185" i="5"/>
  <c r="M186" i="5"/>
  <c r="N186" i="5"/>
  <c r="S186" i="5" s="1"/>
  <c r="O186" i="5"/>
  <c r="P186" i="5"/>
  <c r="M187" i="5"/>
  <c r="N187" i="5"/>
  <c r="O187" i="5"/>
  <c r="P187" i="5"/>
  <c r="M188" i="5"/>
  <c r="N188" i="5"/>
  <c r="T188" i="5" s="1"/>
  <c r="O188" i="5"/>
  <c r="P188" i="5"/>
  <c r="M189" i="5"/>
  <c r="N189" i="5"/>
  <c r="R189" i="5" s="1"/>
  <c r="O189" i="5"/>
  <c r="P189" i="5"/>
  <c r="M190" i="5"/>
  <c r="N190" i="5"/>
  <c r="T190" i="5" s="1"/>
  <c r="O190" i="5"/>
  <c r="P190" i="5"/>
  <c r="M191" i="5"/>
  <c r="N191" i="5"/>
  <c r="Q191" i="5" s="1"/>
  <c r="O191" i="5"/>
  <c r="P191" i="5"/>
  <c r="M192" i="5"/>
  <c r="N192" i="5"/>
  <c r="T192" i="5" s="1"/>
  <c r="O192" i="5"/>
  <c r="P192" i="5"/>
  <c r="M193" i="5"/>
  <c r="N193" i="5"/>
  <c r="T193" i="5" s="1"/>
  <c r="O193" i="5"/>
  <c r="P193" i="5"/>
  <c r="M194" i="5"/>
  <c r="N194" i="5"/>
  <c r="R194" i="5" s="1"/>
  <c r="O194" i="5"/>
  <c r="P194" i="5"/>
  <c r="M195" i="5"/>
  <c r="N195" i="5"/>
  <c r="S195" i="5" s="1"/>
  <c r="O195" i="5"/>
  <c r="P195" i="5"/>
  <c r="M196" i="5"/>
  <c r="N196" i="5"/>
  <c r="Q196" i="5" s="1"/>
  <c r="O196" i="5"/>
  <c r="P196" i="5"/>
  <c r="M197" i="5"/>
  <c r="N197" i="5"/>
  <c r="R197" i="5" s="1"/>
  <c r="O197" i="5"/>
  <c r="P197" i="5"/>
  <c r="M198" i="5"/>
  <c r="N198" i="5"/>
  <c r="Q198" i="5" s="1"/>
  <c r="O198" i="5"/>
  <c r="P198" i="5"/>
  <c r="M199" i="5"/>
  <c r="N199" i="5"/>
  <c r="S199" i="5" s="1"/>
  <c r="O199" i="5"/>
  <c r="P199" i="5"/>
  <c r="M200" i="5"/>
  <c r="N200" i="5"/>
  <c r="R200" i="5" s="1"/>
  <c r="O200" i="5"/>
  <c r="P200" i="5"/>
  <c r="M201" i="5"/>
  <c r="N201" i="5"/>
  <c r="Q201" i="5" s="1"/>
  <c r="O201" i="5"/>
  <c r="P201" i="5"/>
  <c r="M202" i="5"/>
  <c r="N202" i="5"/>
  <c r="Q202" i="5" s="1"/>
  <c r="O202" i="5"/>
  <c r="P202" i="5"/>
  <c r="M203" i="5"/>
  <c r="N203" i="5"/>
  <c r="S203" i="5" s="1"/>
  <c r="O203" i="5"/>
  <c r="P203" i="5"/>
  <c r="M204" i="5"/>
  <c r="N204" i="5"/>
  <c r="S204" i="5" s="1"/>
  <c r="O204" i="5"/>
  <c r="P204" i="5"/>
  <c r="M205" i="5"/>
  <c r="N205" i="5"/>
  <c r="Q205" i="5" s="1"/>
  <c r="O205" i="5"/>
  <c r="P205" i="5"/>
  <c r="M207" i="5"/>
  <c r="N207" i="5"/>
  <c r="T207" i="5" s="1"/>
  <c r="O207" i="5"/>
  <c r="P207" i="5"/>
  <c r="M208" i="5"/>
  <c r="N208" i="5"/>
  <c r="O208" i="5"/>
  <c r="P208" i="5"/>
  <c r="P73" i="5"/>
  <c r="Q73" i="5"/>
  <c r="R73" i="5"/>
  <c r="S73" i="5"/>
  <c r="T73" i="5"/>
  <c r="O74" i="5"/>
  <c r="P74" i="5"/>
  <c r="N74" i="5"/>
  <c r="S74" i="5" s="1"/>
  <c r="O75" i="5"/>
  <c r="P75" i="5"/>
  <c r="N75" i="5"/>
  <c r="S75" i="5" s="1"/>
  <c r="O76" i="5"/>
  <c r="P76" i="5"/>
  <c r="N76" i="5"/>
  <c r="Q76" i="5" s="1"/>
  <c r="O77" i="5"/>
  <c r="P77" i="5"/>
  <c r="N77" i="5"/>
  <c r="R77" i="5" s="1"/>
  <c r="O78" i="5"/>
  <c r="P78" i="5"/>
  <c r="N78" i="5"/>
  <c r="T78" i="5" s="1"/>
  <c r="O79" i="5"/>
  <c r="P79" i="5"/>
  <c r="N79" i="5"/>
  <c r="Q79" i="5" s="1"/>
  <c r="O80" i="5"/>
  <c r="P80" i="5"/>
  <c r="N80" i="5"/>
  <c r="Q80" i="5" s="1"/>
  <c r="O81" i="5"/>
  <c r="P81" i="5"/>
  <c r="N81" i="5"/>
  <c r="T81" i="5" s="1"/>
  <c r="O82" i="5"/>
  <c r="P82" i="5"/>
  <c r="N82" i="5"/>
  <c r="S82" i="5" s="1"/>
  <c r="O83" i="5"/>
  <c r="P83" i="5"/>
  <c r="N83" i="5"/>
  <c r="S83" i="5" s="1"/>
  <c r="O84" i="5"/>
  <c r="P84" i="5"/>
  <c r="N84" i="5"/>
  <c r="O85" i="5"/>
  <c r="P85" i="5"/>
  <c r="N85" i="5"/>
  <c r="Q85" i="5" s="1"/>
  <c r="O86" i="5"/>
  <c r="P86" i="5"/>
  <c r="N86" i="5"/>
  <c r="Q86" i="5" s="1"/>
  <c r="O87" i="5"/>
  <c r="P87" i="5"/>
  <c r="N87" i="5"/>
  <c r="T87" i="5" s="1"/>
  <c r="O88" i="5"/>
  <c r="P88" i="5"/>
  <c r="N88" i="5"/>
  <c r="T88" i="5" s="1"/>
  <c r="O89" i="5"/>
  <c r="P89" i="5"/>
  <c r="N89" i="5"/>
  <c r="R89" i="5" s="1"/>
  <c r="O90" i="5"/>
  <c r="P90" i="5"/>
  <c r="N90" i="5"/>
  <c r="Q90" i="5" s="1"/>
  <c r="O91" i="5"/>
  <c r="P91" i="5"/>
  <c r="N91" i="5"/>
  <c r="S91" i="5" s="1"/>
  <c r="O92" i="5"/>
  <c r="P92" i="5"/>
  <c r="N92" i="5"/>
  <c r="T92" i="5" s="1"/>
  <c r="O93" i="5"/>
  <c r="P93" i="5"/>
  <c r="N93" i="5"/>
  <c r="T93" i="5" s="1"/>
  <c r="O94" i="5"/>
  <c r="P94" i="5"/>
  <c r="N94" i="5"/>
  <c r="T94" i="5" s="1"/>
  <c r="O95" i="5"/>
  <c r="P95" i="5"/>
  <c r="N95" i="5"/>
  <c r="R95" i="5" s="1"/>
  <c r="O97" i="5"/>
  <c r="P97" i="5"/>
  <c r="N97" i="5"/>
  <c r="S97" i="5" s="1"/>
  <c r="O98" i="5"/>
  <c r="P98" i="5"/>
  <c r="N98" i="5"/>
  <c r="S98" i="5" s="1"/>
  <c r="O99" i="5"/>
  <c r="P99" i="5"/>
  <c r="N99" i="5"/>
  <c r="T99" i="5" s="1"/>
  <c r="O100" i="5"/>
  <c r="P100" i="5"/>
  <c r="N100" i="5"/>
  <c r="R100" i="5" s="1"/>
  <c r="O101" i="5"/>
  <c r="P101" i="5"/>
  <c r="N101" i="5"/>
  <c r="O102" i="5"/>
  <c r="P102" i="5"/>
  <c r="N102" i="5"/>
  <c r="Q102" i="5" s="1"/>
  <c r="O103" i="5"/>
  <c r="P103" i="5"/>
  <c r="N103" i="5"/>
  <c r="Q103" i="5" s="1"/>
  <c r="O104" i="5"/>
  <c r="P104" i="5"/>
  <c r="N104" i="5"/>
  <c r="P105" i="5"/>
  <c r="N105" i="5"/>
  <c r="Q105" i="5" s="1"/>
  <c r="O106" i="5"/>
  <c r="P106" i="5"/>
  <c r="N106" i="5"/>
  <c r="Q106" i="5" s="1"/>
  <c r="P107" i="5"/>
  <c r="N107" i="5"/>
  <c r="O108" i="5"/>
  <c r="P108" i="5"/>
  <c r="N108" i="5"/>
  <c r="T108" i="5" s="1"/>
  <c r="O109" i="5"/>
  <c r="P109" i="5"/>
  <c r="N109" i="5"/>
  <c r="Q109" i="5" s="1"/>
  <c r="O110" i="5"/>
  <c r="P110" i="5"/>
  <c r="N110" i="5"/>
  <c r="Q110" i="5" s="1"/>
  <c r="O111" i="5"/>
  <c r="P111" i="5"/>
  <c r="N111" i="5"/>
  <c r="Q111" i="5" s="1"/>
  <c r="O112" i="5"/>
  <c r="P112" i="5"/>
  <c r="N112" i="5"/>
  <c r="T112" i="5" s="1"/>
  <c r="O113" i="5"/>
  <c r="P113" i="5"/>
  <c r="N113" i="5"/>
  <c r="R113" i="5" s="1"/>
  <c r="O114" i="5"/>
  <c r="P114" i="5"/>
  <c r="N114" i="5"/>
  <c r="T114" i="5" s="1"/>
  <c r="O115" i="5"/>
  <c r="P115" i="5"/>
  <c r="N115" i="5"/>
  <c r="S115" i="5" s="1"/>
  <c r="O116" i="5"/>
  <c r="P116" i="5"/>
  <c r="N116" i="5"/>
  <c r="R116" i="5" s="1"/>
  <c r="O117" i="5"/>
  <c r="P117" i="5"/>
  <c r="N117" i="5"/>
  <c r="S117" i="5" s="1"/>
  <c r="O118" i="5"/>
  <c r="P118" i="5"/>
  <c r="N118" i="5"/>
  <c r="Q118" i="5" s="1"/>
  <c r="O119" i="5"/>
  <c r="P119" i="5"/>
  <c r="N119" i="5"/>
  <c r="T119" i="5" s="1"/>
  <c r="O120" i="5"/>
  <c r="P120" i="5"/>
  <c r="N120" i="5"/>
  <c r="R120" i="5" s="1"/>
  <c r="O121" i="5"/>
  <c r="P121" i="5"/>
  <c r="N121" i="5"/>
  <c r="Q121" i="5" s="1"/>
  <c r="O122" i="5"/>
  <c r="P122" i="5"/>
  <c r="N122" i="5"/>
  <c r="R122" i="5" s="1"/>
  <c r="O123" i="5"/>
  <c r="P123" i="5"/>
  <c r="N123" i="5"/>
  <c r="Q123" i="5" s="1"/>
  <c r="O124" i="5"/>
  <c r="P124" i="5"/>
  <c r="N124" i="5"/>
  <c r="T124" i="5" s="1"/>
  <c r="O125" i="5"/>
  <c r="P125" i="5"/>
  <c r="N125" i="5"/>
  <c r="T125" i="5" s="1"/>
  <c r="O126" i="5"/>
  <c r="P126" i="5"/>
  <c r="N126" i="5"/>
  <c r="Q126" i="5" s="1"/>
  <c r="O127" i="5"/>
  <c r="P127" i="5"/>
  <c r="N127" i="5"/>
  <c r="T127" i="5" s="1"/>
  <c r="O128" i="5"/>
  <c r="P128" i="5"/>
  <c r="N128" i="5"/>
  <c r="O129" i="5"/>
  <c r="P129" i="5"/>
  <c r="N129" i="5"/>
  <c r="Q129" i="5" s="1"/>
  <c r="O130" i="5"/>
  <c r="P130" i="5"/>
  <c r="N130" i="5"/>
  <c r="R130" i="5" s="1"/>
  <c r="O131" i="5"/>
  <c r="P131" i="5"/>
  <c r="N131" i="5"/>
  <c r="R131" i="5" s="1"/>
  <c r="O132" i="5"/>
  <c r="P132" i="5"/>
  <c r="N132" i="5"/>
  <c r="T132" i="5" s="1"/>
  <c r="O133" i="5"/>
  <c r="P133" i="5"/>
  <c r="N133" i="5"/>
  <c r="T133" i="5" s="1"/>
  <c r="O134" i="5"/>
  <c r="P134" i="5"/>
  <c r="N134" i="5"/>
  <c r="Q134" i="5" s="1"/>
  <c r="O135" i="5"/>
  <c r="P135" i="5"/>
  <c r="N135" i="5"/>
  <c r="R135" i="5" s="1"/>
  <c r="P136" i="5"/>
  <c r="N136" i="5"/>
  <c r="R136" i="5" s="1"/>
  <c r="O137" i="5"/>
  <c r="P137" i="5"/>
  <c r="N137" i="5"/>
  <c r="Q137" i="5" s="1"/>
  <c r="O138" i="5"/>
  <c r="P138" i="5"/>
  <c r="N138" i="5"/>
  <c r="R138" i="5" s="1"/>
  <c r="P139" i="5"/>
  <c r="N139" i="5"/>
  <c r="S139" i="5" s="1"/>
  <c r="O140" i="5"/>
  <c r="P140" i="5"/>
  <c r="N140" i="5"/>
  <c r="Q140" i="5" s="1"/>
  <c r="O141" i="5"/>
  <c r="P141" i="5"/>
  <c r="N141" i="5"/>
  <c r="R141" i="5" s="1"/>
  <c r="O142" i="5"/>
  <c r="P142" i="5"/>
  <c r="N142" i="5"/>
  <c r="R142" i="5" s="1"/>
  <c r="O143" i="5"/>
  <c r="P143" i="5"/>
  <c r="N143" i="5"/>
  <c r="S143" i="5" s="1"/>
  <c r="O144" i="5"/>
  <c r="P144" i="5"/>
  <c r="N144" i="5"/>
  <c r="R144" i="5" s="1"/>
  <c r="O145" i="5"/>
  <c r="P145" i="5"/>
  <c r="N145" i="5"/>
  <c r="O146" i="5"/>
  <c r="P146" i="5"/>
  <c r="N146" i="5"/>
  <c r="T146" i="5" s="1"/>
  <c r="O147" i="5"/>
  <c r="P147" i="5"/>
  <c r="N147" i="5"/>
  <c r="S147" i="5" s="1"/>
  <c r="O148" i="5"/>
  <c r="P148" i="5"/>
  <c r="N148" i="5"/>
  <c r="T148" i="5" s="1"/>
  <c r="O149" i="5"/>
  <c r="P149" i="5"/>
  <c r="N149" i="5"/>
  <c r="Q149" i="5" s="1"/>
  <c r="O150" i="5"/>
  <c r="P150" i="5"/>
  <c r="N150" i="5"/>
  <c r="O151" i="5"/>
  <c r="P151" i="5"/>
  <c r="N151" i="5"/>
  <c r="T151" i="5" s="1"/>
  <c r="O152" i="5"/>
  <c r="P152" i="5"/>
  <c r="N152" i="5"/>
  <c r="R152" i="5" s="1"/>
  <c r="O153" i="5"/>
  <c r="P153" i="5"/>
  <c r="N153" i="5"/>
  <c r="Q153" i="5" s="1"/>
  <c r="O154" i="5"/>
  <c r="P154" i="5"/>
  <c r="N154" i="5"/>
  <c r="R154" i="5" s="1"/>
  <c r="O155" i="5"/>
  <c r="P155" i="5"/>
  <c r="N155" i="5"/>
  <c r="O156" i="5"/>
  <c r="P156" i="5"/>
  <c r="N156" i="5"/>
  <c r="T156" i="5" s="1"/>
  <c r="O157" i="5"/>
  <c r="P157" i="5"/>
  <c r="N157" i="5"/>
  <c r="Q157" i="5" s="1"/>
  <c r="O158" i="5"/>
  <c r="P158" i="5"/>
  <c r="N158" i="5"/>
  <c r="S158" i="5" s="1"/>
  <c r="O159" i="5"/>
  <c r="P159" i="5"/>
  <c r="N159" i="5"/>
  <c r="T159" i="5" s="1"/>
  <c r="O160" i="5"/>
  <c r="P160" i="5"/>
  <c r="N160" i="5"/>
  <c r="S160" i="5" s="1"/>
  <c r="O161" i="5"/>
  <c r="P161" i="5"/>
  <c r="N161" i="5"/>
  <c r="S161" i="5" s="1"/>
  <c r="O162" i="5"/>
  <c r="P162" i="5"/>
  <c r="N162" i="5"/>
  <c r="S162" i="5" s="1"/>
  <c r="O163" i="5"/>
  <c r="P163" i="5"/>
  <c r="N163" i="5"/>
  <c r="S163" i="5" s="1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C75" i="5"/>
  <c r="C76" i="5" s="1"/>
  <c r="C77" i="5" s="1"/>
  <c r="C78" i="5" s="1"/>
  <c r="C79" i="5" s="1"/>
  <c r="C80" i="5" s="1"/>
  <c r="C81" i="5" s="1"/>
  <c r="C82" i="5" s="1"/>
  <c r="C83" i="5" s="1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L11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6" i="5"/>
  <c r="L57" i="5"/>
  <c r="L58" i="5"/>
  <c r="L59" i="5"/>
  <c r="L60" i="5"/>
  <c r="L61" i="5"/>
  <c r="L62" i="5"/>
  <c r="L63" i="5"/>
  <c r="L64" i="5"/>
  <c r="L68" i="5"/>
  <c r="L69" i="5"/>
  <c r="L70" i="5"/>
  <c r="L71" i="5"/>
  <c r="L10" i="5"/>
  <c r="T56" i="5"/>
  <c r="S56" i="5"/>
  <c r="R56" i="5"/>
  <c r="Q56" i="5"/>
  <c r="T52" i="5"/>
  <c r="S52" i="5"/>
  <c r="R52" i="5"/>
  <c r="Q52" i="5"/>
  <c r="T51" i="5"/>
  <c r="S51" i="5"/>
  <c r="R51" i="5"/>
  <c r="Q51" i="5"/>
  <c r="T50" i="5"/>
  <c r="S50" i="5"/>
  <c r="R50" i="5"/>
  <c r="Q50" i="5"/>
  <c r="T49" i="5"/>
  <c r="S49" i="5"/>
  <c r="R49" i="5"/>
  <c r="Q49" i="5"/>
  <c r="T48" i="5"/>
  <c r="S48" i="5"/>
  <c r="R48" i="5"/>
  <c r="Q48" i="5"/>
  <c r="T47" i="5"/>
  <c r="S47" i="5"/>
  <c r="R47" i="5"/>
  <c r="Q47" i="5"/>
  <c r="T46" i="5"/>
  <c r="S46" i="5"/>
  <c r="R46" i="5"/>
  <c r="Q46" i="5"/>
  <c r="T45" i="5"/>
  <c r="S45" i="5"/>
  <c r="R45" i="5"/>
  <c r="Q45" i="5"/>
  <c r="T44" i="5"/>
  <c r="S44" i="5"/>
  <c r="R44" i="5"/>
  <c r="Q44" i="5"/>
  <c r="T43" i="5"/>
  <c r="S43" i="5"/>
  <c r="R43" i="5"/>
  <c r="Q43" i="5"/>
  <c r="T42" i="5"/>
  <c r="S42" i="5"/>
  <c r="R42" i="5"/>
  <c r="Q42" i="5"/>
  <c r="T41" i="5"/>
  <c r="S41" i="5"/>
  <c r="R41" i="5"/>
  <c r="Q41" i="5"/>
  <c r="T40" i="5"/>
  <c r="S40" i="5"/>
  <c r="R40" i="5"/>
  <c r="Q40" i="5"/>
  <c r="T22" i="5"/>
  <c r="S22" i="5"/>
  <c r="R22" i="5"/>
  <c r="Q22" i="5"/>
  <c r="T21" i="5"/>
  <c r="S21" i="5"/>
  <c r="R21" i="5"/>
  <c r="Q21" i="5"/>
  <c r="T20" i="5"/>
  <c r="S20" i="5"/>
  <c r="R20" i="5"/>
  <c r="Q20" i="5"/>
  <c r="T18" i="5"/>
  <c r="S18" i="5"/>
  <c r="R18" i="5"/>
  <c r="Q18" i="5"/>
  <c r="T17" i="5"/>
  <c r="S17" i="5"/>
  <c r="R17" i="5"/>
  <c r="Q17" i="5"/>
  <c r="T16" i="5"/>
  <c r="S16" i="5"/>
  <c r="R16" i="5"/>
  <c r="Q16" i="5"/>
  <c r="T15" i="5"/>
  <c r="S15" i="5"/>
  <c r="R15" i="5"/>
  <c r="Q15" i="5"/>
  <c r="T13" i="5"/>
  <c r="S13" i="5"/>
  <c r="R13" i="5"/>
  <c r="Q13" i="5"/>
  <c r="T12" i="5"/>
  <c r="S12" i="5"/>
  <c r="R12" i="5"/>
  <c r="Q12" i="5"/>
  <c r="T11" i="5"/>
  <c r="S11" i="5"/>
  <c r="R11" i="5"/>
  <c r="Q11" i="5"/>
  <c r="T10" i="5"/>
  <c r="S10" i="5"/>
  <c r="R10" i="5"/>
  <c r="Q10" i="5"/>
  <c r="K71" i="5"/>
  <c r="M71" i="5" s="1"/>
  <c r="K70" i="5"/>
  <c r="M70" i="5" s="1"/>
  <c r="K69" i="5"/>
  <c r="M69" i="5" s="1"/>
  <c r="K11" i="5"/>
  <c r="M11" i="5" s="1"/>
  <c r="K12" i="5"/>
  <c r="M12" i="5" s="1"/>
  <c r="K13" i="5"/>
  <c r="M13" i="5" s="1"/>
  <c r="K14" i="5"/>
  <c r="M14" i="5" s="1"/>
  <c r="K15" i="5"/>
  <c r="M15" i="5" s="1"/>
  <c r="K16" i="5"/>
  <c r="M16" i="5" s="1"/>
  <c r="K17" i="5"/>
  <c r="M17" i="5" s="1"/>
  <c r="K18" i="5"/>
  <c r="M18" i="5" s="1"/>
  <c r="K19" i="5"/>
  <c r="M19" i="5" s="1"/>
  <c r="K20" i="5"/>
  <c r="M20" i="5" s="1"/>
  <c r="K21" i="5"/>
  <c r="M21" i="5" s="1"/>
  <c r="K22" i="5"/>
  <c r="M22" i="5" s="1"/>
  <c r="K23" i="5"/>
  <c r="M23" i="5" s="1"/>
  <c r="K24" i="5"/>
  <c r="M24" i="5" s="1"/>
  <c r="K25" i="5"/>
  <c r="M25" i="5" s="1"/>
  <c r="K26" i="5"/>
  <c r="M26" i="5" s="1"/>
  <c r="K27" i="5"/>
  <c r="M27" i="5" s="1"/>
  <c r="K28" i="5"/>
  <c r="M28" i="5" s="1"/>
  <c r="K29" i="5"/>
  <c r="M29" i="5" s="1"/>
  <c r="K30" i="5"/>
  <c r="M30" i="5" s="1"/>
  <c r="K31" i="5"/>
  <c r="M31" i="5" s="1"/>
  <c r="K32" i="5"/>
  <c r="M32" i="5" s="1"/>
  <c r="K33" i="5"/>
  <c r="M33" i="5" s="1"/>
  <c r="K34" i="5"/>
  <c r="M34" i="5" s="1"/>
  <c r="K35" i="5"/>
  <c r="M35" i="5" s="1"/>
  <c r="K36" i="5"/>
  <c r="M36" i="5" s="1"/>
  <c r="K37" i="5"/>
  <c r="M37" i="5" s="1"/>
  <c r="K38" i="5"/>
  <c r="M38" i="5" s="1"/>
  <c r="K39" i="5"/>
  <c r="M39" i="5" s="1"/>
  <c r="K40" i="5"/>
  <c r="M40" i="5" s="1"/>
  <c r="K41" i="5"/>
  <c r="M41" i="5" s="1"/>
  <c r="K42" i="5"/>
  <c r="M42" i="5" s="1"/>
  <c r="K43" i="5"/>
  <c r="M43" i="5" s="1"/>
  <c r="K44" i="5"/>
  <c r="M44" i="5" s="1"/>
  <c r="K45" i="5"/>
  <c r="M45" i="5" s="1"/>
  <c r="K46" i="5"/>
  <c r="M46" i="5" s="1"/>
  <c r="K47" i="5"/>
  <c r="M47" i="5" s="1"/>
  <c r="K48" i="5"/>
  <c r="M48" i="5" s="1"/>
  <c r="K49" i="5"/>
  <c r="M49" i="5" s="1"/>
  <c r="K50" i="5"/>
  <c r="M50" i="5" s="1"/>
  <c r="K51" i="5"/>
  <c r="M51" i="5" s="1"/>
  <c r="M52" i="5"/>
  <c r="K56" i="5"/>
  <c r="M56" i="5" s="1"/>
  <c r="K57" i="5"/>
  <c r="M57" i="5" s="1"/>
  <c r="K58" i="5"/>
  <c r="M58" i="5" s="1"/>
  <c r="K59" i="5"/>
  <c r="M59" i="5" s="1"/>
  <c r="K60" i="5"/>
  <c r="M60" i="5" s="1"/>
  <c r="K61" i="5"/>
  <c r="M61" i="5" s="1"/>
  <c r="K62" i="5"/>
  <c r="M62" i="5" s="1"/>
  <c r="K63" i="5"/>
  <c r="M63" i="5" s="1"/>
  <c r="M64" i="5"/>
  <c r="K68" i="5"/>
  <c r="M68" i="5" s="1"/>
  <c r="K10" i="5"/>
  <c r="M10" i="5" s="1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6" i="5"/>
  <c r="O57" i="5"/>
  <c r="O58" i="5"/>
  <c r="O59" i="5"/>
  <c r="O60" i="5"/>
  <c r="O61" i="5"/>
  <c r="O62" i="5"/>
  <c r="O63" i="5"/>
  <c r="O64" i="5"/>
  <c r="O68" i="5"/>
  <c r="O69" i="5"/>
  <c r="O70" i="5"/>
  <c r="O71" i="5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P71" i="5"/>
  <c r="P70" i="5"/>
  <c r="P69" i="5"/>
  <c r="P68" i="5"/>
  <c r="P64" i="5"/>
  <c r="P63" i="5"/>
  <c r="P62" i="5"/>
  <c r="P61" i="5"/>
  <c r="P60" i="5"/>
  <c r="P59" i="5"/>
  <c r="P58" i="5"/>
  <c r="P57" i="5"/>
  <c r="P56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10" i="5"/>
  <c r="O36" i="5"/>
  <c r="O37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11" i="5"/>
  <c r="M227" i="5"/>
  <c r="I260" i="5"/>
  <c r="I261" i="5" s="1"/>
  <c r="I262" i="5" s="1"/>
  <c r="I263" i="5" s="1"/>
  <c r="I264" i="5" s="1"/>
  <c r="I265" i="5" s="1"/>
  <c r="S500" i="5"/>
  <c r="T500" i="5"/>
  <c r="Q500" i="5"/>
  <c r="R500" i="5"/>
  <c r="K500" i="5"/>
  <c r="M500" i="5" s="1"/>
  <c r="T501" i="5"/>
  <c r="R501" i="5"/>
  <c r="S501" i="5"/>
  <c r="Q501" i="5"/>
  <c r="K501" i="5"/>
  <c r="M501" i="5" s="1"/>
  <c r="R502" i="5"/>
  <c r="T502" i="5"/>
  <c r="Q502" i="5"/>
  <c r="S502" i="5"/>
  <c r="K502" i="5"/>
  <c r="M502" i="5" s="1"/>
  <c r="T535" i="5"/>
  <c r="S523" i="5"/>
  <c r="Q522" i="5"/>
  <c r="R509" i="5"/>
  <c r="T532" i="5"/>
  <c r="Q531" i="5"/>
  <c r="R524" i="5"/>
  <c r="S531" i="5"/>
  <c r="T519" i="5"/>
  <c r="R530" i="5"/>
  <c r="T465" i="5"/>
  <c r="R535" i="5"/>
  <c r="S528" i="5"/>
  <c r="Q516" i="5"/>
  <c r="S522" i="5"/>
  <c r="T530" i="5"/>
  <c r="Q524" i="5"/>
  <c r="R533" i="5"/>
  <c r="S524" i="5"/>
  <c r="T515" i="5"/>
  <c r="R522" i="5"/>
  <c r="R464" i="5"/>
  <c r="T464" i="5"/>
  <c r="S217" i="5"/>
  <c r="Q59" i="5"/>
  <c r="Q26" i="5"/>
  <c r="S65" i="5"/>
  <c r="T37" i="5"/>
  <c r="T19" i="5"/>
  <c r="Q220" i="5"/>
  <c r="S69" i="5"/>
  <c r="S33" i="5"/>
  <c r="R33" i="5"/>
  <c r="Q67" i="5"/>
  <c r="R58" i="5"/>
  <c r="Q69" i="5"/>
  <c r="Q33" i="5"/>
  <c r="T36" i="5"/>
  <c r="R24" i="5"/>
  <c r="S57" i="5"/>
  <c r="S24" i="5"/>
  <c r="T217" i="5"/>
  <c r="R36" i="5"/>
  <c r="S535" i="5"/>
  <c r="R513" i="5"/>
  <c r="Q514" i="5"/>
  <c r="S532" i="5"/>
  <c r="T529" i="5"/>
  <c r="Q519" i="5"/>
  <c r="R531" i="5"/>
  <c r="S519" i="5"/>
  <c r="T508" i="5"/>
  <c r="R516" i="5"/>
  <c r="Q464" i="5"/>
  <c r="T67" i="5"/>
  <c r="Q57" i="5"/>
  <c r="Q24" i="5"/>
  <c r="T71" i="5"/>
  <c r="T35" i="5"/>
  <c r="R23" i="5"/>
  <c r="Q219" i="5"/>
  <c r="S64" i="5"/>
  <c r="S31" i="5"/>
  <c r="R29" i="5"/>
  <c r="Q66" i="5"/>
  <c r="R39" i="5"/>
  <c r="Q64" i="5"/>
  <c r="Q31" i="5"/>
  <c r="T70" i="5"/>
  <c r="T34" i="5"/>
  <c r="R14" i="5"/>
  <c r="S38" i="5"/>
  <c r="S14" i="5"/>
  <c r="R70" i="5"/>
  <c r="Q535" i="5"/>
  <c r="T523" i="5"/>
  <c r="Q509" i="5"/>
  <c r="S530" i="5"/>
  <c r="T525" i="5"/>
  <c r="Q508" i="5"/>
  <c r="R519" i="5"/>
  <c r="S515" i="5"/>
  <c r="T506" i="5"/>
  <c r="S514" i="5"/>
  <c r="R465" i="5"/>
  <c r="T66" i="5"/>
  <c r="Q38" i="5"/>
  <c r="Q14" i="5"/>
  <c r="R220" i="5"/>
  <c r="T69" i="5"/>
  <c r="T33" i="5"/>
  <c r="Q218" i="5"/>
  <c r="S62" i="5"/>
  <c r="S29" i="5"/>
  <c r="Q65" i="5"/>
  <c r="R35" i="5"/>
  <c r="Q62" i="5"/>
  <c r="Q29" i="5"/>
  <c r="T68" i="5"/>
  <c r="T32" i="5"/>
  <c r="S36" i="5"/>
  <c r="R34" i="5"/>
  <c r="R68" i="5"/>
  <c r="R26" i="5"/>
  <c r="Q523" i="5"/>
  <c r="T528" i="5"/>
  <c r="R529" i="5"/>
  <c r="S529" i="5"/>
  <c r="T522" i="5"/>
  <c r="R508" i="5"/>
  <c r="R515" i="5"/>
  <c r="S506" i="5"/>
  <c r="Q532" i="5"/>
  <c r="S464" i="5"/>
  <c r="T65" i="5"/>
  <c r="Q36" i="5"/>
  <c r="R25" i="5"/>
  <c r="R219" i="5"/>
  <c r="T64" i="5"/>
  <c r="T31" i="5"/>
  <c r="Q217" i="5"/>
  <c r="S60" i="5"/>
  <c r="S27" i="5"/>
  <c r="R71" i="5"/>
  <c r="R31" i="5"/>
  <c r="Q60" i="5"/>
  <c r="Q27" i="5"/>
  <c r="T63" i="5"/>
  <c r="T30" i="5"/>
  <c r="S70" i="5"/>
  <c r="S34" i="5"/>
  <c r="R30" i="5"/>
  <c r="R63" i="5"/>
  <c r="Q513" i="5"/>
  <c r="S513" i="5"/>
  <c r="R532" i="5"/>
  <c r="S525" i="5"/>
  <c r="T516" i="5"/>
  <c r="Q533" i="5"/>
  <c r="R506" i="5"/>
  <c r="T533" i="5"/>
  <c r="Q530" i="5"/>
  <c r="S465" i="5"/>
  <c r="Q70" i="5"/>
  <c r="Q34" i="5"/>
  <c r="R218" i="5"/>
  <c r="T62" i="5"/>
  <c r="T29" i="5"/>
  <c r="R67" i="5"/>
  <c r="S58" i="5"/>
  <c r="S25" i="5"/>
  <c r="R69" i="5"/>
  <c r="R27" i="5"/>
  <c r="Q58" i="5"/>
  <c r="Q25" i="5"/>
  <c r="T61" i="5"/>
  <c r="T28" i="5"/>
  <c r="S68" i="5"/>
  <c r="S32" i="5"/>
  <c r="R61" i="5"/>
  <c r="Q528" i="5"/>
  <c r="R523" i="5"/>
  <c r="R525" i="5"/>
  <c r="S516" i="5"/>
  <c r="T514" i="5"/>
  <c r="Q515" i="5"/>
  <c r="S508" i="5"/>
  <c r="T531" i="5"/>
  <c r="Q529" i="5"/>
  <c r="S220" i="5"/>
  <c r="Q68" i="5"/>
  <c r="Q32" i="5"/>
  <c r="R217" i="5"/>
  <c r="T60" i="5"/>
  <c r="T27" i="5"/>
  <c r="R66" i="5"/>
  <c r="S39" i="5"/>
  <c r="S23" i="5"/>
  <c r="R64" i="5"/>
  <c r="R19" i="5"/>
  <c r="Q39" i="5"/>
  <c r="Q23" i="5"/>
  <c r="T59" i="5"/>
  <c r="T26" i="5"/>
  <c r="S63" i="5"/>
  <c r="S30" i="5"/>
  <c r="T220" i="5"/>
  <c r="R59" i="5"/>
  <c r="T513" i="5"/>
  <c r="Q525" i="5"/>
  <c r="S218" i="5"/>
  <c r="T23" i="5"/>
  <c r="S71" i="5"/>
  <c r="R28" i="5"/>
  <c r="T38" i="5"/>
  <c r="R514" i="5"/>
  <c r="Q61" i="5"/>
  <c r="S35" i="5"/>
  <c r="T14" i="5"/>
  <c r="S59" i="5"/>
  <c r="T509" i="5"/>
  <c r="Q28" i="5"/>
  <c r="R60" i="5"/>
  <c r="S26" i="5"/>
  <c r="S509" i="5"/>
  <c r="Q30" i="5"/>
  <c r="S67" i="5"/>
  <c r="S19" i="5"/>
  <c r="R62" i="5"/>
  <c r="S28" i="5"/>
  <c r="T219" i="5"/>
  <c r="S66" i="5"/>
  <c r="R37" i="5"/>
  <c r="Q71" i="5"/>
  <c r="T218" i="5"/>
  <c r="S533" i="5"/>
  <c r="Q465" i="5"/>
  <c r="T39" i="5"/>
  <c r="Q35" i="5"/>
  <c r="R38" i="5"/>
  <c r="R528" i="5"/>
  <c r="S37" i="5"/>
  <c r="T24" i="5"/>
  <c r="T524" i="5"/>
  <c r="S219" i="5"/>
  <c r="T25" i="5"/>
  <c r="R65" i="5"/>
  <c r="Q19" i="5"/>
  <c r="T57" i="5"/>
  <c r="R32" i="5"/>
  <c r="Q63" i="5"/>
  <c r="S61" i="5"/>
  <c r="Q37" i="5"/>
  <c r="T58" i="5"/>
  <c r="R57" i="5"/>
  <c r="Q506" i="5"/>
  <c r="D44" i="50"/>
  <c r="F44" i="50"/>
  <c r="E44" i="50"/>
  <c r="C28" i="62"/>
  <c r="C7" i="62"/>
  <c r="C13" i="62"/>
  <c r="C25" i="62"/>
  <c r="C44" i="62"/>
  <c r="C8" i="62"/>
  <c r="H37" i="62"/>
  <c r="C18" i="62"/>
  <c r="H35" i="62"/>
  <c r="C27" i="62"/>
  <c r="H44" i="62"/>
  <c r="C24" i="62"/>
  <c r="H27" i="62"/>
  <c r="X35" i="56" l="1"/>
  <c r="X42" i="56"/>
  <c r="X36" i="56"/>
  <c r="W37" i="56"/>
  <c r="W40" i="56" s="1"/>
  <c r="T457" i="5"/>
  <c r="S272" i="5"/>
  <c r="N15" i="50"/>
  <c r="N18" i="50" s="1"/>
  <c r="N23" i="50"/>
  <c r="E18" i="50"/>
  <c r="E23" i="50" s="1"/>
  <c r="D45" i="50"/>
  <c r="F18" i="50"/>
  <c r="F23" i="50" s="1"/>
  <c r="M28" i="50" s="1"/>
  <c r="G18" i="50"/>
  <c r="G23" i="50" s="1"/>
  <c r="D18" i="50"/>
  <c r="D23" i="50" s="1"/>
  <c r="E45" i="50"/>
  <c r="F45" i="50"/>
  <c r="R494" i="5"/>
  <c r="R492" i="5"/>
  <c r="S492" i="5"/>
  <c r="T492" i="5"/>
  <c r="T494" i="5"/>
  <c r="O10" i="5"/>
  <c r="G8" i="5"/>
  <c r="F8" i="5" s="1"/>
  <c r="D120" i="51" s="1"/>
  <c r="E120" i="51" s="1"/>
  <c r="I709" i="5"/>
  <c r="I801" i="5" s="1"/>
  <c r="I802" i="5" s="1"/>
  <c r="I803" i="5" s="1"/>
  <c r="I804" i="5" s="1"/>
  <c r="I805" i="5" s="1"/>
  <c r="I806" i="5" s="1"/>
  <c r="I807" i="5" s="1"/>
  <c r="I808" i="5" s="1"/>
  <c r="I809" i="5" s="1"/>
  <c r="I810" i="5" s="1"/>
  <c r="I811" i="5" s="1"/>
  <c r="I812" i="5" s="1"/>
  <c r="I813" i="5" s="1"/>
  <c r="I814" i="5" s="1"/>
  <c r="I815" i="5" s="1"/>
  <c r="I816" i="5" s="1"/>
  <c r="I817" i="5" s="1"/>
  <c r="I818" i="5" s="1"/>
  <c r="I819" i="5" s="1"/>
  <c r="I820" i="5" s="1"/>
  <c r="I821" i="5" s="1"/>
  <c r="I822" i="5" s="1"/>
  <c r="I823" i="5" s="1"/>
  <c r="I824" i="5" s="1"/>
  <c r="I825" i="5" s="1"/>
  <c r="I826" i="5" s="1"/>
  <c r="R296" i="5"/>
  <c r="G27" i="51"/>
  <c r="G29" i="51" s="1"/>
  <c r="C64" i="51"/>
  <c r="H48" i="53"/>
  <c r="H50" i="53" s="1"/>
  <c r="F50" i="53"/>
  <c r="F53" i="53" s="1"/>
  <c r="I29" i="51"/>
  <c r="I631" i="5"/>
  <c r="I632" i="5" s="1"/>
  <c r="I633" i="5" s="1"/>
  <c r="I634" i="5" s="1"/>
  <c r="I635" i="5" s="1"/>
  <c r="I636" i="5" s="1"/>
  <c r="I637" i="5" s="1"/>
  <c r="I638" i="5" s="1"/>
  <c r="I639" i="5" s="1"/>
  <c r="I640" i="5" s="1"/>
  <c r="I641" i="5" s="1"/>
  <c r="I642" i="5" s="1"/>
  <c r="I643" i="5" s="1"/>
  <c r="I644" i="5" s="1"/>
  <c r="I645" i="5" s="1"/>
  <c r="I646" i="5" s="1"/>
  <c r="I647" i="5" s="1"/>
  <c r="I648" i="5" s="1"/>
  <c r="I649" i="5" s="1"/>
  <c r="I650" i="5" s="1"/>
  <c r="I651" i="5" s="1"/>
  <c r="I652" i="5" s="1"/>
  <c r="I653" i="5" s="1"/>
  <c r="I654" i="5" s="1"/>
  <c r="I655" i="5" s="1"/>
  <c r="I656" i="5" s="1"/>
  <c r="I657" i="5" s="1"/>
  <c r="I658" i="5" s="1"/>
  <c r="I73" i="5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468" i="5" s="1"/>
  <c r="R461" i="5"/>
  <c r="T323" i="5"/>
  <c r="S368" i="5"/>
  <c r="Q451" i="5"/>
  <c r="Q444" i="5"/>
  <c r="T444" i="5"/>
  <c r="R444" i="5"/>
  <c r="Q184" i="5"/>
  <c r="T328" i="5"/>
  <c r="Q288" i="5"/>
  <c r="S374" i="5"/>
  <c r="T490" i="5"/>
  <c r="T332" i="5"/>
  <c r="R368" i="5"/>
  <c r="S494" i="5"/>
  <c r="R90" i="5"/>
  <c r="R496" i="5"/>
  <c r="Q446" i="5"/>
  <c r="S457" i="5"/>
  <c r="S305" i="5"/>
  <c r="R457" i="5"/>
  <c r="Q148" i="5"/>
  <c r="T239" i="5"/>
  <c r="R339" i="5"/>
  <c r="T261" i="5"/>
  <c r="T304" i="5"/>
  <c r="S279" i="5"/>
  <c r="R74" i="5"/>
  <c r="Q166" i="5"/>
  <c r="R336" i="5"/>
  <c r="R337" i="5"/>
  <c r="S90" i="5"/>
  <c r="S246" i="5"/>
  <c r="T263" i="5"/>
  <c r="Q96" i="5"/>
  <c r="R246" i="5"/>
  <c r="T90" i="5"/>
  <c r="Q99" i="5"/>
  <c r="S263" i="5"/>
  <c r="Q74" i="5"/>
  <c r="Q254" i="5"/>
  <c r="S254" i="5"/>
  <c r="T143" i="5"/>
  <c r="T254" i="5"/>
  <c r="S113" i="5"/>
  <c r="S302" i="5"/>
  <c r="Q143" i="5"/>
  <c r="S259" i="5"/>
  <c r="Q263" i="5"/>
  <c r="Q246" i="5"/>
  <c r="R302" i="5"/>
  <c r="Q82" i="5"/>
  <c r="R332" i="5"/>
  <c r="T258" i="5"/>
  <c r="T290" i="5"/>
  <c r="T255" i="5"/>
  <c r="S371" i="5"/>
  <c r="Q368" i="5"/>
  <c r="T372" i="5"/>
  <c r="R446" i="5"/>
  <c r="C10" i="62"/>
  <c r="H29" i="62"/>
  <c r="C21" i="62"/>
  <c r="H46" i="62"/>
  <c r="H40" i="62"/>
  <c r="C46" i="62"/>
  <c r="O37" i="56"/>
  <c r="O40" i="56" s="1"/>
  <c r="O43" i="56" s="1"/>
  <c r="R78" i="5"/>
  <c r="S229" i="5"/>
  <c r="T466" i="5"/>
  <c r="R460" i="5"/>
  <c r="S286" i="5"/>
  <c r="T158" i="5"/>
  <c r="S335" i="5"/>
  <c r="R367" i="5"/>
  <c r="S142" i="5"/>
  <c r="Q257" i="5"/>
  <c r="R211" i="5"/>
  <c r="Q299" i="5"/>
  <c r="S367" i="5"/>
  <c r="Q251" i="5"/>
  <c r="R112" i="5"/>
  <c r="R319" i="5"/>
  <c r="S291" i="5"/>
  <c r="S81" i="5"/>
  <c r="S458" i="5"/>
  <c r="T460" i="5"/>
  <c r="T343" i="5"/>
  <c r="S343" i="5"/>
  <c r="T291" i="5"/>
  <c r="S283" i="5"/>
  <c r="R299" i="5"/>
  <c r="S319" i="5"/>
  <c r="S327" i="5"/>
  <c r="T74" i="5"/>
  <c r="S215" i="5"/>
  <c r="R327" i="5"/>
  <c r="Q460" i="5"/>
  <c r="Q122" i="5"/>
  <c r="T335" i="5"/>
  <c r="T260" i="5"/>
  <c r="R373" i="5"/>
  <c r="S445" i="5"/>
  <c r="R370" i="5"/>
  <c r="Q370" i="5"/>
  <c r="T445" i="5"/>
  <c r="S255" i="5"/>
  <c r="T95" i="5"/>
  <c r="S95" i="5"/>
  <c r="S331" i="5"/>
  <c r="Q235" i="5"/>
  <c r="Q228" i="5"/>
  <c r="S148" i="5"/>
  <c r="Q332" i="5"/>
  <c r="T79" i="5"/>
  <c r="Q279" i="5"/>
  <c r="S205" i="5"/>
  <c r="S324" i="5"/>
  <c r="R304" i="5"/>
  <c r="Q371" i="5"/>
  <c r="R497" i="5"/>
  <c r="R137" i="5"/>
  <c r="R231" i="5"/>
  <c r="S622" i="5"/>
  <c r="R205" i="5"/>
  <c r="Q239" i="5"/>
  <c r="S239" i="5"/>
  <c r="R156" i="5"/>
  <c r="Q295" i="5"/>
  <c r="Q323" i="5"/>
  <c r="T331" i="5"/>
  <c r="Q87" i="5"/>
  <c r="S247" i="5"/>
  <c r="T116" i="5"/>
  <c r="R371" i="5"/>
  <c r="S156" i="5"/>
  <c r="R448" i="5"/>
  <c r="T287" i="5"/>
  <c r="R111" i="5"/>
  <c r="S250" i="5"/>
  <c r="T228" i="5"/>
  <c r="S452" i="5"/>
  <c r="S323" i="5"/>
  <c r="R228" i="5"/>
  <c r="Q349" i="5"/>
  <c r="T82" i="5"/>
  <c r="S151" i="5"/>
  <c r="R93" i="5"/>
  <c r="R245" i="5"/>
  <c r="R253" i="5"/>
  <c r="Q226" i="5"/>
  <c r="S132" i="5"/>
  <c r="R132" i="5"/>
  <c r="Q132" i="5"/>
  <c r="Q333" i="5"/>
  <c r="T209" i="5"/>
  <c r="T222" i="5"/>
  <c r="R625" i="5"/>
  <c r="T349" i="5"/>
  <c r="Q116" i="5"/>
  <c r="S349" i="5"/>
  <c r="T102" i="5"/>
  <c r="R85" i="5"/>
  <c r="Q146" i="5"/>
  <c r="T333" i="5"/>
  <c r="R143" i="5"/>
  <c r="Q245" i="5"/>
  <c r="R148" i="5"/>
  <c r="S440" i="5"/>
  <c r="T554" i="5"/>
  <c r="T584" i="5"/>
  <c r="R251" i="5"/>
  <c r="T461" i="5"/>
  <c r="R308" i="5"/>
  <c r="S308" i="5"/>
  <c r="S493" i="5"/>
  <c r="T80" i="5"/>
  <c r="T186" i="5"/>
  <c r="T251" i="5"/>
  <c r="S79" i="5"/>
  <c r="R79" i="5"/>
  <c r="S182" i="5"/>
  <c r="Q95" i="5"/>
  <c r="R493" i="5"/>
  <c r="T318" i="5"/>
  <c r="T319" i="5"/>
  <c r="Q335" i="5"/>
  <c r="S373" i="5"/>
  <c r="Q156" i="5"/>
  <c r="Q373" i="5"/>
  <c r="T293" i="5"/>
  <c r="Q327" i="5"/>
  <c r="R344" i="5"/>
  <c r="T370" i="5"/>
  <c r="S497" i="5"/>
  <c r="T110" i="5"/>
  <c r="S111" i="5"/>
  <c r="R221" i="5"/>
  <c r="Q321" i="5"/>
  <c r="Q564" i="5"/>
  <c r="S243" i="5"/>
  <c r="T157" i="5"/>
  <c r="Q244" i="5"/>
  <c r="Q233" i="5"/>
  <c r="T243" i="5"/>
  <c r="R243" i="5"/>
  <c r="R495" i="5"/>
  <c r="Q280" i="5"/>
  <c r="T305" i="5"/>
  <c r="Q493" i="5"/>
  <c r="T344" i="5"/>
  <c r="S226" i="5"/>
  <c r="Q311" i="5"/>
  <c r="S456" i="5"/>
  <c r="Q804" i="5"/>
  <c r="T285" i="5"/>
  <c r="S296" i="5"/>
  <c r="Q491" i="5"/>
  <c r="T262" i="5"/>
  <c r="Q182" i="5"/>
  <c r="R450" i="5"/>
  <c r="S252" i="5"/>
  <c r="R261" i="5"/>
  <c r="Q293" i="5"/>
  <c r="T130" i="5"/>
  <c r="Q343" i="5"/>
  <c r="Q262" i="5"/>
  <c r="S262" i="5"/>
  <c r="Q302" i="5"/>
  <c r="R117" i="5"/>
  <c r="T337" i="5"/>
  <c r="Q308" i="5"/>
  <c r="Q372" i="5"/>
  <c r="T491" i="5"/>
  <c r="S137" i="5"/>
  <c r="S222" i="5"/>
  <c r="R252" i="5"/>
  <c r="S461" i="5"/>
  <c r="S261" i="5"/>
  <c r="R305" i="5"/>
  <c r="S491" i="5"/>
  <c r="Q497" i="5"/>
  <c r="Q186" i="5"/>
  <c r="R285" i="5"/>
  <c r="Q285" i="5"/>
  <c r="T122" i="5"/>
  <c r="Q296" i="5"/>
  <c r="S495" i="5"/>
  <c r="R293" i="5"/>
  <c r="T277" i="5"/>
  <c r="T495" i="5"/>
  <c r="R226" i="5"/>
  <c r="S146" i="5"/>
  <c r="T162" i="5"/>
  <c r="S260" i="5"/>
  <c r="R372" i="5"/>
  <c r="Q462" i="5"/>
  <c r="T299" i="5"/>
  <c r="S124" i="5"/>
  <c r="S245" i="5"/>
  <c r="R180" i="5"/>
  <c r="S198" i="5"/>
  <c r="T206" i="5"/>
  <c r="Q165" i="5"/>
  <c r="Q194" i="5"/>
  <c r="Q260" i="5"/>
  <c r="Q367" i="5"/>
  <c r="R445" i="5"/>
  <c r="Q232" i="5"/>
  <c r="Q222" i="5"/>
  <c r="R244" i="5"/>
  <c r="Q266" i="5"/>
  <c r="R178" i="5"/>
  <c r="T165" i="5"/>
  <c r="R186" i="5"/>
  <c r="S462" i="5"/>
  <c r="Q141" i="5"/>
  <c r="S337" i="5"/>
  <c r="R447" i="5"/>
  <c r="Q344" i="5"/>
  <c r="Q252" i="5"/>
  <c r="Q172" i="5"/>
  <c r="T266" i="5"/>
  <c r="Q485" i="5"/>
  <c r="Q573" i="5"/>
  <c r="Q441" i="5"/>
  <c r="R483" i="5"/>
  <c r="R81" i="5"/>
  <c r="T204" i="5"/>
  <c r="Q215" i="5"/>
  <c r="Q331" i="5"/>
  <c r="S304" i="5"/>
  <c r="R295" i="5"/>
  <c r="Q237" i="5"/>
  <c r="R287" i="5"/>
  <c r="R333" i="5"/>
  <c r="T295" i="5"/>
  <c r="S120" i="5"/>
  <c r="T211" i="5"/>
  <c r="Q152" i="5"/>
  <c r="S192" i="5"/>
  <c r="T194" i="5"/>
  <c r="Q258" i="5"/>
  <c r="T462" i="5"/>
  <c r="T215" i="5"/>
  <c r="R162" i="5"/>
  <c r="Q127" i="5"/>
  <c r="R146" i="5"/>
  <c r="Q287" i="5"/>
  <c r="S301" i="5"/>
  <c r="T339" i="5"/>
  <c r="T201" i="5"/>
  <c r="T279" i="5"/>
  <c r="R255" i="5"/>
  <c r="T137" i="5"/>
  <c r="T109" i="5"/>
  <c r="T154" i="5"/>
  <c r="S112" i="5"/>
  <c r="Q339" i="5"/>
  <c r="R109" i="5"/>
  <c r="Q216" i="5"/>
  <c r="Q81" i="5"/>
  <c r="Q204" i="5"/>
  <c r="Q112" i="5"/>
  <c r="R198" i="5"/>
  <c r="R88" i="5"/>
  <c r="R127" i="5"/>
  <c r="T198" i="5"/>
  <c r="R179" i="5"/>
  <c r="T446" i="5"/>
  <c r="S328" i="5"/>
  <c r="T301" i="5"/>
  <c r="S190" i="5"/>
  <c r="S202" i="5"/>
  <c r="T153" i="5"/>
  <c r="S102" i="5"/>
  <c r="R125" i="5"/>
  <c r="T77" i="5"/>
  <c r="T605" i="5"/>
  <c r="T117" i="5"/>
  <c r="Q130" i="5"/>
  <c r="T237" i="5"/>
  <c r="Q125" i="5"/>
  <c r="T141" i="5"/>
  <c r="S129" i="5"/>
  <c r="T160" i="5"/>
  <c r="S127" i="5"/>
  <c r="Q374" i="5"/>
  <c r="R458" i="5"/>
  <c r="T451" i="5"/>
  <c r="Q224" i="5"/>
  <c r="S174" i="5"/>
  <c r="S231" i="5"/>
  <c r="Q114" i="5"/>
  <c r="Q229" i="5"/>
  <c r="Q240" i="5"/>
  <c r="S266" i="5"/>
  <c r="S210" i="5"/>
  <c r="S321" i="5"/>
  <c r="R577" i="5"/>
  <c r="R554" i="5"/>
  <c r="S630" i="5"/>
  <c r="T75" i="5"/>
  <c r="T458" i="5"/>
  <c r="Q289" i="5"/>
  <c r="S297" i="5"/>
  <c r="Q443" i="5"/>
  <c r="R614" i="5"/>
  <c r="S130" i="5"/>
  <c r="T257" i="5"/>
  <c r="T330" i="5"/>
  <c r="S289" i="5"/>
  <c r="Q117" i="5"/>
  <c r="T210" i="5"/>
  <c r="Q210" i="5"/>
  <c r="S237" i="5"/>
  <c r="S240" i="5"/>
  <c r="S257" i="5"/>
  <c r="S325" i="5"/>
  <c r="T129" i="5"/>
  <c r="R309" i="5"/>
  <c r="Q207" i="5"/>
  <c r="S141" i="5"/>
  <c r="Q297" i="5"/>
  <c r="R451" i="5"/>
  <c r="Q309" i="5"/>
  <c r="R80" i="5"/>
  <c r="R320" i="5"/>
  <c r="T289" i="5"/>
  <c r="T374" i="5"/>
  <c r="Q223" i="5"/>
  <c r="R153" i="5"/>
  <c r="R151" i="5"/>
  <c r="T135" i="5"/>
  <c r="Q174" i="5"/>
  <c r="R240" i="5"/>
  <c r="R357" i="5"/>
  <c r="S436" i="5"/>
  <c r="Q248" i="5"/>
  <c r="T309" i="5"/>
  <c r="R325" i="5"/>
  <c r="S106" i="5"/>
  <c r="R229" i="5"/>
  <c r="R350" i="5"/>
  <c r="T478" i="5"/>
  <c r="Q630" i="5"/>
  <c r="Q78" i="5"/>
  <c r="Q192" i="5"/>
  <c r="R188" i="5"/>
  <c r="T113" i="5"/>
  <c r="S122" i="5"/>
  <c r="Q88" i="5"/>
  <c r="S119" i="5"/>
  <c r="Q294" i="5"/>
  <c r="T325" i="5"/>
  <c r="S88" i="5"/>
  <c r="S153" i="5"/>
  <c r="T176" i="5"/>
  <c r="S109" i="5"/>
  <c r="S125" i="5"/>
  <c r="S276" i="5"/>
  <c r="T362" i="5"/>
  <c r="S561" i="5"/>
  <c r="Q668" i="5"/>
  <c r="R297" i="5"/>
  <c r="S211" i="5"/>
  <c r="T566" i="5"/>
  <c r="R582" i="5"/>
  <c r="S596" i="5"/>
  <c r="T238" i="5"/>
  <c r="S238" i="5"/>
  <c r="Q238" i="5"/>
  <c r="Q236" i="5"/>
  <c r="R236" i="5"/>
  <c r="S236" i="5"/>
  <c r="S316" i="5"/>
  <c r="S123" i="5"/>
  <c r="T123" i="5"/>
  <c r="S107" i="5"/>
  <c r="Q107" i="5"/>
  <c r="T208" i="5"/>
  <c r="R208" i="5"/>
  <c r="T171" i="5"/>
  <c r="S171" i="5"/>
  <c r="S131" i="5"/>
  <c r="Q208" i="5"/>
  <c r="S185" i="5"/>
  <c r="S201" i="5"/>
  <c r="T185" i="5"/>
  <c r="Q195" i="5"/>
  <c r="T163" i="5"/>
  <c r="Q150" i="5"/>
  <c r="R150" i="5"/>
  <c r="S150" i="5"/>
  <c r="T150" i="5"/>
  <c r="T142" i="5"/>
  <c r="Q142" i="5"/>
  <c r="Q128" i="5"/>
  <c r="T128" i="5"/>
  <c r="Q98" i="5"/>
  <c r="T98" i="5"/>
  <c r="R98" i="5"/>
  <c r="R214" i="5"/>
  <c r="S214" i="5"/>
  <c r="T214" i="5"/>
  <c r="T247" i="5"/>
  <c r="Q247" i="5"/>
  <c r="Q264" i="5"/>
  <c r="S264" i="5"/>
  <c r="T264" i="5"/>
  <c r="R259" i="5"/>
  <c r="Q259" i="5"/>
  <c r="Q442" i="5"/>
  <c r="S76" i="5"/>
  <c r="R76" i="5"/>
  <c r="T205" i="5"/>
  <c r="Q160" i="5"/>
  <c r="R160" i="5"/>
  <c r="Q277" i="5"/>
  <c r="S277" i="5"/>
  <c r="R313" i="5"/>
  <c r="S313" i="5"/>
  <c r="Q329" i="5"/>
  <c r="T329" i="5"/>
  <c r="S329" i="5"/>
  <c r="Q346" i="5"/>
  <c r="T597" i="5"/>
  <c r="R597" i="5"/>
  <c r="S597" i="5"/>
  <c r="Q597" i="5"/>
  <c r="S145" i="5"/>
  <c r="R145" i="5"/>
  <c r="S208" i="5"/>
  <c r="R310" i="5"/>
  <c r="S310" i="5"/>
  <c r="S92" i="5"/>
  <c r="R201" i="5"/>
  <c r="T181" i="5"/>
  <c r="R177" i="5"/>
  <c r="Q181" i="5"/>
  <c r="Q189" i="5"/>
  <c r="S298" i="5"/>
  <c r="S175" i="5"/>
  <c r="T120" i="5"/>
  <c r="R280" i="5"/>
  <c r="S280" i="5"/>
  <c r="R288" i="5"/>
  <c r="T288" i="5"/>
  <c r="R324" i="5"/>
  <c r="T324" i="5"/>
  <c r="S340" i="5"/>
  <c r="R340" i="5"/>
  <c r="Q340" i="5"/>
  <c r="T437" i="5"/>
  <c r="R437" i="5"/>
  <c r="S437" i="5"/>
  <c r="Q437" i="5"/>
  <c r="R490" i="5"/>
  <c r="Q490" i="5"/>
  <c r="T496" i="5"/>
  <c r="Q496" i="5"/>
  <c r="Q470" i="5"/>
  <c r="R470" i="5"/>
  <c r="S101" i="5"/>
  <c r="Q101" i="5"/>
  <c r="T84" i="5"/>
  <c r="S84" i="5"/>
  <c r="Q84" i="5"/>
  <c r="R187" i="5"/>
  <c r="Q187" i="5"/>
  <c r="T177" i="5"/>
  <c r="R123" i="5"/>
  <c r="Q298" i="5"/>
  <c r="Q197" i="5"/>
  <c r="Q203" i="5"/>
  <c r="T189" i="5"/>
  <c r="Q193" i="5"/>
  <c r="R298" i="5"/>
  <c r="S187" i="5"/>
  <c r="Q92" i="5"/>
  <c r="T101" i="5"/>
  <c r="R84" i="5"/>
  <c r="R191" i="5"/>
  <c r="S326" i="5"/>
  <c r="S110" i="5"/>
  <c r="S450" i="5"/>
  <c r="T450" i="5"/>
  <c r="S565" i="5"/>
  <c r="T565" i="5"/>
  <c r="S193" i="5"/>
  <c r="R193" i="5"/>
  <c r="S183" i="5"/>
  <c r="R183" i="5"/>
  <c r="R173" i="5"/>
  <c r="S173" i="5"/>
  <c r="R92" i="5"/>
  <c r="T173" i="5"/>
  <c r="S155" i="5"/>
  <c r="Q155" i="5"/>
  <c r="R334" i="5"/>
  <c r="Q334" i="5"/>
  <c r="S197" i="5"/>
  <c r="S189" i="5"/>
  <c r="T183" i="5"/>
  <c r="T191" i="5"/>
  <c r="T203" i="5"/>
  <c r="Q183" i="5"/>
  <c r="R203" i="5"/>
  <c r="R101" i="5"/>
  <c r="Q310" i="5"/>
  <c r="T107" i="5"/>
  <c r="R107" i="5"/>
  <c r="R163" i="5"/>
  <c r="T224" i="5"/>
  <c r="S224" i="5"/>
  <c r="R199" i="5"/>
  <c r="T199" i="5"/>
  <c r="R195" i="5"/>
  <c r="T195" i="5"/>
  <c r="Q179" i="5"/>
  <c r="T179" i="5"/>
  <c r="R175" i="5"/>
  <c r="T175" i="5"/>
  <c r="Q185" i="5"/>
  <c r="T187" i="5"/>
  <c r="T76" i="5"/>
  <c r="R318" i="5"/>
  <c r="S318" i="5"/>
  <c r="S342" i="5"/>
  <c r="R342" i="5"/>
  <c r="S181" i="5"/>
  <c r="T197" i="5"/>
  <c r="S177" i="5"/>
  <c r="Q199" i="5"/>
  <c r="R326" i="5"/>
  <c r="S191" i="5"/>
  <c r="T326" i="5"/>
  <c r="T310" i="5"/>
  <c r="R104" i="5"/>
  <c r="T104" i="5"/>
  <c r="Q104" i="5"/>
  <c r="S104" i="5"/>
  <c r="R87" i="5"/>
  <c r="S87" i="5"/>
  <c r="T166" i="5"/>
  <c r="S166" i="5"/>
  <c r="T96" i="5"/>
  <c r="R96" i="5"/>
  <c r="Q227" i="5"/>
  <c r="R227" i="5"/>
  <c r="S234" i="5"/>
  <c r="T234" i="5"/>
  <c r="R234" i="5"/>
  <c r="Q253" i="5"/>
  <c r="T253" i="5"/>
  <c r="T236" i="5"/>
  <c r="Q316" i="5"/>
  <c r="S442" i="5"/>
  <c r="Q767" i="5"/>
  <c r="Q312" i="5"/>
  <c r="T438" i="5"/>
  <c r="Q616" i="5"/>
  <c r="Q672" i="5"/>
  <c r="S135" i="5"/>
  <c r="T180" i="5"/>
  <c r="S116" i="5"/>
  <c r="T202" i="5"/>
  <c r="R119" i="5"/>
  <c r="S170" i="5"/>
  <c r="Q168" i="5"/>
  <c r="T106" i="5"/>
  <c r="Q231" i="5"/>
  <c r="Q135" i="5"/>
  <c r="T360" i="5"/>
  <c r="Q576" i="5"/>
  <c r="Q554" i="5"/>
  <c r="R605" i="5"/>
  <c r="R622" i="5"/>
  <c r="Q151" i="5"/>
  <c r="R596" i="5"/>
  <c r="S269" i="5"/>
  <c r="Q596" i="5"/>
  <c r="S454" i="5"/>
  <c r="Q320" i="5"/>
  <c r="T463" i="5"/>
  <c r="R463" i="5"/>
  <c r="T115" i="5"/>
  <c r="Q115" i="5"/>
  <c r="T136" i="5"/>
  <c r="R133" i="5"/>
  <c r="S133" i="5"/>
  <c r="Q230" i="5"/>
  <c r="Q133" i="5"/>
  <c r="R128" i="5"/>
  <c r="R312" i="5"/>
  <c r="R283" i="5"/>
  <c r="T313" i="5"/>
  <c r="S292" i="5"/>
  <c r="Q276" i="5"/>
  <c r="R440" i="5"/>
  <c r="T442" i="5"/>
  <c r="Q438" i="5"/>
  <c r="T489" i="5"/>
  <c r="R469" i="5"/>
  <c r="S625" i="5"/>
  <c r="R600" i="5"/>
  <c r="R672" i="5"/>
  <c r="T669" i="5"/>
  <c r="Q131" i="5"/>
  <c r="Q292" i="5"/>
  <c r="R487" i="5"/>
  <c r="R99" i="5"/>
  <c r="R290" i="5"/>
  <c r="Q188" i="5"/>
  <c r="S194" i="5"/>
  <c r="S159" i="5"/>
  <c r="S99" i="5"/>
  <c r="S207" i="5"/>
  <c r="T97" i="5"/>
  <c r="Q342" i="5"/>
  <c r="T196" i="5"/>
  <c r="R204" i="5"/>
  <c r="Q145" i="5"/>
  <c r="R449" i="5"/>
  <c r="T230" i="5"/>
  <c r="T170" i="5"/>
  <c r="S168" i="5"/>
  <c r="T174" i="5"/>
  <c r="T126" i="5"/>
  <c r="Q124" i="5"/>
  <c r="R115" i="5"/>
  <c r="S241" i="5"/>
  <c r="R134" i="5"/>
  <c r="R250" i="5"/>
  <c r="Q221" i="5"/>
  <c r="T312" i="5"/>
  <c r="Q275" i="5"/>
  <c r="S311" i="5"/>
  <c r="R292" i="5"/>
  <c r="T276" i="5"/>
  <c r="Q351" i="5"/>
  <c r="T364" i="5"/>
  <c r="Q434" i="5"/>
  <c r="R593" i="5"/>
  <c r="S609" i="5"/>
  <c r="R630" i="5"/>
  <c r="S670" i="5"/>
  <c r="Q300" i="5"/>
  <c r="S447" i="5"/>
  <c r="Q241" i="5"/>
  <c r="Q162" i="5"/>
  <c r="T200" i="5"/>
  <c r="T447" i="5"/>
  <c r="Q119" i="5"/>
  <c r="T145" i="5"/>
  <c r="Q89" i="5"/>
  <c r="T184" i="5"/>
  <c r="S196" i="5"/>
  <c r="R196" i="5"/>
  <c r="Q97" i="5"/>
  <c r="R202" i="5"/>
  <c r="Q75" i="5"/>
  <c r="Q190" i="5"/>
  <c r="T334" i="5"/>
  <c r="S157" i="5"/>
  <c r="R159" i="5"/>
  <c r="Q159" i="5"/>
  <c r="S80" i="5"/>
  <c r="Q290" i="5"/>
  <c r="T342" i="5"/>
  <c r="R184" i="5"/>
  <c r="R190" i="5"/>
  <c r="T300" i="5"/>
  <c r="Q454" i="5"/>
  <c r="Q449" i="5"/>
  <c r="R369" i="5"/>
  <c r="Q170" i="5"/>
  <c r="T139" i="5"/>
  <c r="Q176" i="5"/>
  <c r="S136" i="5"/>
  <c r="T134" i="5"/>
  <c r="R155" i="5"/>
  <c r="R110" i="5"/>
  <c r="R241" i="5"/>
  <c r="S134" i="5"/>
  <c r="Q154" i="5"/>
  <c r="R106" i="5"/>
  <c r="S275" i="5"/>
  <c r="T311" i="5"/>
  <c r="R351" i="5"/>
  <c r="R364" i="5"/>
  <c r="Q440" i="5"/>
  <c r="T485" i="5"/>
  <c r="R268" i="5"/>
  <c r="T593" i="5"/>
  <c r="S605" i="5"/>
  <c r="R626" i="5"/>
  <c r="Q586" i="5"/>
  <c r="Q670" i="5"/>
  <c r="S165" i="5"/>
  <c r="S93" i="5"/>
  <c r="S178" i="5"/>
  <c r="R207" i="5"/>
  <c r="R75" i="5"/>
  <c r="R83" i="5"/>
  <c r="S258" i="5"/>
  <c r="Q93" i="5"/>
  <c r="T85" i="5"/>
  <c r="R182" i="5"/>
  <c r="R129" i="5"/>
  <c r="Q83" i="5"/>
  <c r="S200" i="5"/>
  <c r="T336" i="5"/>
  <c r="T178" i="5"/>
  <c r="Q180" i="5"/>
  <c r="R97" i="5"/>
  <c r="S206" i="5"/>
  <c r="S369" i="5"/>
  <c r="R216" i="5"/>
  <c r="R300" i="5"/>
  <c r="R192" i="5"/>
  <c r="Q369" i="5"/>
  <c r="S334" i="5"/>
  <c r="Q336" i="5"/>
  <c r="R328" i="5"/>
  <c r="Q463" i="5"/>
  <c r="Q250" i="5"/>
  <c r="T147" i="5"/>
  <c r="S105" i="5"/>
  <c r="S176" i="5"/>
  <c r="R91" i="5"/>
  <c r="Q139" i="5"/>
  <c r="S232" i="5"/>
  <c r="Q209" i="5"/>
  <c r="S230" i="5"/>
  <c r="T225" i="5"/>
  <c r="Q77" i="5"/>
  <c r="R114" i="5"/>
  <c r="Q91" i="5"/>
  <c r="Q214" i="5"/>
  <c r="S114" i="5"/>
  <c r="T341" i="5"/>
  <c r="Q284" i="5"/>
  <c r="S593" i="5"/>
  <c r="S600" i="5"/>
  <c r="Q600" i="5"/>
  <c r="S669" i="5"/>
  <c r="R670" i="5"/>
  <c r="S661" i="5"/>
  <c r="S320" i="5"/>
  <c r="R248" i="5"/>
  <c r="S85" i="5"/>
  <c r="R301" i="5"/>
  <c r="R157" i="5"/>
  <c r="Q206" i="5"/>
  <c r="Q147" i="5"/>
  <c r="S154" i="5"/>
  <c r="Q136" i="5"/>
  <c r="Q291" i="5"/>
  <c r="S284" i="5"/>
  <c r="T363" i="5"/>
  <c r="S434" i="5"/>
  <c r="R484" i="5"/>
  <c r="R616" i="5"/>
  <c r="R669" i="5"/>
  <c r="T661" i="5"/>
  <c r="S248" i="5"/>
  <c r="T454" i="5"/>
  <c r="T83" i="5"/>
  <c r="T131" i="5"/>
  <c r="T152" i="5"/>
  <c r="R126" i="5"/>
  <c r="Q200" i="5"/>
  <c r="T216" i="5"/>
  <c r="S188" i="5"/>
  <c r="T449" i="5"/>
  <c r="T155" i="5"/>
  <c r="R103" i="5"/>
  <c r="S152" i="5"/>
  <c r="R232" i="5"/>
  <c r="S77" i="5"/>
  <c r="S103" i="5"/>
  <c r="T103" i="5"/>
  <c r="R147" i="5"/>
  <c r="I224" i="5"/>
  <c r="T221" i="5"/>
  <c r="T91" i="5"/>
  <c r="T284" i="5"/>
  <c r="S470" i="5"/>
  <c r="T470" i="5"/>
  <c r="T587" i="5"/>
  <c r="Q587" i="5"/>
  <c r="R765" i="5"/>
  <c r="I225" i="5"/>
  <c r="I223" i="5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T164" i="5"/>
  <c r="R86" i="5"/>
  <c r="S278" i="5"/>
  <c r="R338" i="5"/>
  <c r="T448" i="5"/>
  <c r="S121" i="5"/>
  <c r="Q167" i="5"/>
  <c r="Q225" i="5"/>
  <c r="S108" i="5"/>
  <c r="R481" i="5"/>
  <c r="Q589" i="5"/>
  <c r="S78" i="5"/>
  <c r="Q338" i="5"/>
  <c r="R278" i="5"/>
  <c r="Q466" i="5"/>
  <c r="R330" i="5"/>
  <c r="R108" i="5"/>
  <c r="Q108" i="5"/>
  <c r="R242" i="5"/>
  <c r="S225" i="5"/>
  <c r="T233" i="5"/>
  <c r="T212" i="5"/>
  <c r="T256" i="5"/>
  <c r="R321" i="5"/>
  <c r="Q362" i="5"/>
  <c r="Q477" i="5"/>
  <c r="T479" i="5"/>
  <c r="S488" i="5"/>
  <c r="S567" i="5"/>
  <c r="R584" i="5"/>
  <c r="Q629" i="5"/>
  <c r="T606" i="5"/>
  <c r="R628" i="5"/>
  <c r="R586" i="5"/>
  <c r="R668" i="5"/>
  <c r="S164" i="5"/>
  <c r="S100" i="5"/>
  <c r="S466" i="5"/>
  <c r="R459" i="5"/>
  <c r="S459" i="5"/>
  <c r="Q242" i="5"/>
  <c r="T169" i="5"/>
  <c r="T121" i="5"/>
  <c r="S169" i="5"/>
  <c r="R256" i="5"/>
  <c r="Q358" i="5"/>
  <c r="R431" i="5"/>
  <c r="T483" i="5"/>
  <c r="T589" i="5"/>
  <c r="Q621" i="5"/>
  <c r="R303" i="5"/>
  <c r="R265" i="5"/>
  <c r="Q100" i="5"/>
  <c r="Q265" i="5"/>
  <c r="Q144" i="5"/>
  <c r="S144" i="5"/>
  <c r="T265" i="5"/>
  <c r="T86" i="5"/>
  <c r="S86" i="5"/>
  <c r="T338" i="5"/>
  <c r="Q161" i="5"/>
  <c r="Q303" i="5"/>
  <c r="R286" i="5"/>
  <c r="Q278" i="5"/>
  <c r="Q330" i="5"/>
  <c r="S448" i="5"/>
  <c r="R121" i="5"/>
  <c r="Q213" i="5"/>
  <c r="S128" i="5"/>
  <c r="S256" i="5"/>
  <c r="S233" i="5"/>
  <c r="R267" i="5"/>
  <c r="S357" i="5"/>
  <c r="T441" i="5"/>
  <c r="T351" i="5"/>
  <c r="S441" i="5"/>
  <c r="T475" i="5"/>
  <c r="T484" i="5"/>
  <c r="S484" i="5"/>
  <c r="R269" i="5"/>
  <c r="S469" i="5"/>
  <c r="Q584" i="5"/>
  <c r="R629" i="5"/>
  <c r="Q613" i="5"/>
  <c r="S626" i="5"/>
  <c r="R667" i="5"/>
  <c r="T609" i="5"/>
  <c r="T668" i="5"/>
  <c r="T161" i="5"/>
  <c r="T100" i="5"/>
  <c r="R161" i="5"/>
  <c r="Q164" i="5"/>
  <c r="Q375" i="5"/>
  <c r="Q459" i="5"/>
  <c r="T375" i="5"/>
  <c r="T294" i="5"/>
  <c r="S375" i="5"/>
  <c r="R235" i="5"/>
  <c r="T213" i="5"/>
  <c r="T118" i="5"/>
  <c r="R149" i="5"/>
  <c r="S149" i="5"/>
  <c r="Q212" i="5"/>
  <c r="S213" i="5"/>
  <c r="S242" i="5"/>
  <c r="R212" i="5"/>
  <c r="Q267" i="5"/>
  <c r="S317" i="5"/>
  <c r="T573" i="5"/>
  <c r="S629" i="5"/>
  <c r="Q667" i="5"/>
  <c r="S294" i="5"/>
  <c r="T303" i="5"/>
  <c r="Q286" i="5"/>
  <c r="Q249" i="5"/>
  <c r="S235" i="5"/>
  <c r="T149" i="5"/>
  <c r="S138" i="5"/>
  <c r="S167" i="5"/>
  <c r="S118" i="5"/>
  <c r="S267" i="5"/>
  <c r="T275" i="5"/>
  <c r="T317" i="5"/>
  <c r="S346" i="5"/>
  <c r="R358" i="5"/>
  <c r="Q357" i="5"/>
  <c r="Q350" i="5"/>
  <c r="S364" i="5"/>
  <c r="R475" i="5"/>
  <c r="T469" i="5"/>
  <c r="T564" i="5"/>
  <c r="T577" i="5"/>
  <c r="R609" i="5"/>
  <c r="S601" i="5"/>
  <c r="Q601" i="5"/>
  <c r="T144" i="5"/>
  <c r="T167" i="5"/>
  <c r="Q169" i="5"/>
  <c r="Q313" i="5"/>
  <c r="R366" i="5"/>
  <c r="Q475" i="5"/>
  <c r="S576" i="5"/>
  <c r="S577" i="5"/>
  <c r="Q582" i="5"/>
  <c r="Q590" i="5"/>
  <c r="Q766" i="5"/>
  <c r="T271" i="5"/>
  <c r="R271" i="5"/>
  <c r="T352" i="5"/>
  <c r="Q352" i="5"/>
  <c r="R352" i="5"/>
  <c r="Q499" i="5"/>
  <c r="R499" i="5"/>
  <c r="S499" i="5"/>
  <c r="T499" i="5"/>
  <c r="R105" i="5"/>
  <c r="T105" i="5"/>
  <c r="R124" i="5"/>
  <c r="Q163" i="5"/>
  <c r="R118" i="5"/>
  <c r="S126" i="5"/>
  <c r="S172" i="5"/>
  <c r="R102" i="5"/>
  <c r="T591" i="5"/>
  <c r="R591" i="5"/>
  <c r="S591" i="5"/>
  <c r="Q435" i="5"/>
  <c r="T435" i="5"/>
  <c r="R482" i="5"/>
  <c r="S482" i="5"/>
  <c r="T482" i="5"/>
  <c r="Q482" i="5"/>
  <c r="S562" i="5"/>
  <c r="R562" i="5"/>
  <c r="Q562" i="5"/>
  <c r="T562" i="5"/>
  <c r="S588" i="5"/>
  <c r="T588" i="5"/>
  <c r="Q588" i="5"/>
  <c r="Q805" i="5"/>
  <c r="S805" i="5"/>
  <c r="T805" i="5"/>
  <c r="T138" i="5"/>
  <c r="Q138" i="5"/>
  <c r="R432" i="5"/>
  <c r="T432" i="5"/>
  <c r="Q432" i="5"/>
  <c r="T555" i="5"/>
  <c r="S555" i="5"/>
  <c r="Q555" i="5"/>
  <c r="R555" i="5"/>
  <c r="T581" i="5"/>
  <c r="R581" i="5"/>
  <c r="S581" i="5"/>
  <c r="T610" i="5"/>
  <c r="Q610" i="5"/>
  <c r="S610" i="5"/>
  <c r="T168" i="5"/>
  <c r="R209" i="5"/>
  <c r="T111" i="5"/>
  <c r="R82" i="5"/>
  <c r="T172" i="5"/>
  <c r="O268" i="5"/>
  <c r="I268" i="5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S578" i="5"/>
  <c r="R578" i="5"/>
  <c r="Q578" i="5"/>
  <c r="T578" i="5"/>
  <c r="T617" i="5"/>
  <c r="Q617" i="5"/>
  <c r="R617" i="5"/>
  <c r="Q314" i="5"/>
  <c r="T314" i="5"/>
  <c r="T348" i="5"/>
  <c r="Q348" i="5"/>
  <c r="S348" i="5"/>
  <c r="R348" i="5"/>
  <c r="S361" i="5"/>
  <c r="R361" i="5"/>
  <c r="Q361" i="5"/>
  <c r="T306" i="5"/>
  <c r="R306" i="5"/>
  <c r="Q341" i="5"/>
  <c r="S341" i="5"/>
  <c r="R565" i="5"/>
  <c r="S617" i="5"/>
  <c r="Q355" i="5"/>
  <c r="S355" i="5"/>
  <c r="S453" i="5"/>
  <c r="T453" i="5"/>
  <c r="Q453" i="5"/>
  <c r="S568" i="5"/>
  <c r="Q568" i="5"/>
  <c r="T568" i="5"/>
  <c r="R568" i="5"/>
  <c r="T594" i="5"/>
  <c r="Q594" i="5"/>
  <c r="R594" i="5"/>
  <c r="S594" i="5"/>
  <c r="R272" i="5"/>
  <c r="T365" i="5"/>
  <c r="Q365" i="5"/>
  <c r="R359" i="5"/>
  <c r="Q488" i="5"/>
  <c r="T268" i="5"/>
  <c r="S564" i="5"/>
  <c r="R573" i="5"/>
  <c r="R592" i="5"/>
  <c r="R621" i="5"/>
  <c r="S618" i="5"/>
  <c r="R606" i="5"/>
  <c r="Q599" i="5"/>
  <c r="S765" i="5"/>
  <c r="R766" i="5"/>
  <c r="R767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2" i="5"/>
  <c r="Q663" i="5"/>
  <c r="Q664" i="5"/>
  <c r="Q665" i="5"/>
  <c r="Q660" i="5"/>
  <c r="T283" i="5"/>
  <c r="T272" i="5"/>
  <c r="S353" i="5"/>
  <c r="R360" i="5"/>
  <c r="Q439" i="5"/>
  <c r="T436" i="5"/>
  <c r="Q456" i="5"/>
  <c r="S360" i="5"/>
  <c r="Q363" i="5"/>
  <c r="T452" i="5"/>
  <c r="S477" i="5"/>
  <c r="S483" i="5"/>
  <c r="T476" i="5"/>
  <c r="T477" i="5"/>
  <c r="T269" i="5"/>
  <c r="Q455" i="5"/>
  <c r="S503" i="5"/>
  <c r="R566" i="5"/>
  <c r="R576" i="5"/>
  <c r="S592" i="5"/>
  <c r="S613" i="5"/>
  <c r="Q625" i="5"/>
  <c r="S614" i="5"/>
  <c r="Q626" i="5"/>
  <c r="T621" i="5"/>
  <c r="Q760" i="5"/>
  <c r="T765" i="5"/>
  <c r="S766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2" i="5"/>
  <c r="R663" i="5"/>
  <c r="R664" i="5"/>
  <c r="R665" i="5"/>
  <c r="R660" i="5"/>
  <c r="Q433" i="5"/>
  <c r="R476" i="5"/>
  <c r="T455" i="5"/>
  <c r="R503" i="5"/>
  <c r="R613" i="5"/>
  <c r="Q585" i="5"/>
  <c r="R599" i="5"/>
  <c r="S667" i="5"/>
  <c r="S760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2" i="5"/>
  <c r="S663" i="5"/>
  <c r="S664" i="5"/>
  <c r="S665" i="5"/>
  <c r="S660" i="5"/>
  <c r="S365" i="5"/>
  <c r="Q353" i="5"/>
  <c r="Q436" i="5"/>
  <c r="R438" i="5"/>
  <c r="T433" i="5"/>
  <c r="R452" i="5"/>
  <c r="Q359" i="5"/>
  <c r="Q503" i="5"/>
  <c r="S563" i="5"/>
  <c r="T569" i="5"/>
  <c r="R569" i="5"/>
  <c r="S572" i="5"/>
  <c r="Q592" i="5"/>
  <c r="T614" i="5"/>
  <c r="S606" i="5"/>
  <c r="R618" i="5"/>
  <c r="Q618" i="5"/>
  <c r="T760" i="5"/>
  <c r="T763" i="5"/>
  <c r="S433" i="5"/>
  <c r="Q476" i="5"/>
  <c r="S268" i="5"/>
  <c r="S455" i="5"/>
  <c r="R563" i="5"/>
  <c r="Q569" i="5"/>
  <c r="T572" i="5"/>
  <c r="T563" i="5"/>
  <c r="S566" i="5"/>
  <c r="Q572" i="5"/>
  <c r="S804" i="5"/>
  <c r="T316" i="5"/>
  <c r="T340" i="5"/>
  <c r="R363" i="5"/>
  <c r="R486" i="5"/>
  <c r="T488" i="5"/>
  <c r="R612" i="5"/>
  <c r="Q622" i="5"/>
  <c r="I546" i="5"/>
  <c r="I544" i="5"/>
  <c r="I749" i="5"/>
  <c r="I748" i="5"/>
  <c r="I750" i="5" s="1"/>
  <c r="C84" i="5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7" i="5" s="1"/>
  <c r="C98" i="5" s="1"/>
  <c r="C99" i="5" s="1"/>
  <c r="C100" i="5" s="1"/>
  <c r="C101" i="5" s="1"/>
  <c r="C102" i="5" s="1"/>
  <c r="C85" i="5"/>
  <c r="I581" i="5"/>
  <c r="I583" i="5" s="1"/>
  <c r="I584" i="5" s="1"/>
  <c r="I582" i="5"/>
  <c r="Q171" i="5"/>
  <c r="R139" i="5"/>
  <c r="R281" i="5"/>
  <c r="Q322" i="5"/>
  <c r="R274" i="5"/>
  <c r="S274" i="5"/>
  <c r="R282" i="5"/>
  <c r="S282" i="5"/>
  <c r="Q570" i="5"/>
  <c r="T570" i="5"/>
  <c r="S570" i="5"/>
  <c r="R570" i="5"/>
  <c r="S89" i="5"/>
  <c r="Q113" i="5"/>
  <c r="T89" i="5"/>
  <c r="Q158" i="5"/>
  <c r="S140" i="5"/>
  <c r="Q120" i="5"/>
  <c r="S227" i="5"/>
  <c r="S281" i="5"/>
  <c r="Q273" i="5"/>
  <c r="T274" i="5"/>
  <c r="Q764" i="5"/>
  <c r="T764" i="5"/>
  <c r="S764" i="5"/>
  <c r="R764" i="5"/>
  <c r="R223" i="5"/>
  <c r="S244" i="5"/>
  <c r="S249" i="5"/>
  <c r="T227" i="5"/>
  <c r="T140" i="5"/>
  <c r="Q94" i="5"/>
  <c r="R171" i="5"/>
  <c r="T249" i="5"/>
  <c r="T223" i="5"/>
  <c r="T281" i="5"/>
  <c r="S314" i="5"/>
  <c r="Q317" i="5"/>
  <c r="Q282" i="5"/>
  <c r="Q498" i="5"/>
  <c r="R498" i="5"/>
  <c r="T498" i="5"/>
  <c r="S498" i="5"/>
  <c r="R270" i="5"/>
  <c r="S270" i="5"/>
  <c r="R322" i="5"/>
  <c r="S322" i="5"/>
  <c r="R158" i="5"/>
  <c r="R140" i="5"/>
  <c r="S94" i="5"/>
  <c r="Q315" i="5"/>
  <c r="Q270" i="5"/>
  <c r="S273" i="5"/>
  <c r="R273" i="5"/>
  <c r="S306" i="5"/>
  <c r="Q306" i="5"/>
  <c r="S356" i="5"/>
  <c r="Q356" i="5"/>
  <c r="T356" i="5"/>
  <c r="S623" i="5"/>
  <c r="Q623" i="5"/>
  <c r="T623" i="5"/>
  <c r="R623" i="5"/>
  <c r="R673" i="5"/>
  <c r="Q673" i="5"/>
  <c r="T673" i="5"/>
  <c r="S673" i="5"/>
  <c r="R94" i="5"/>
  <c r="T270" i="5"/>
  <c r="T480" i="5"/>
  <c r="R480" i="5"/>
  <c r="Q480" i="5"/>
  <c r="S480" i="5"/>
  <c r="S271" i="5"/>
  <c r="Q271" i="5"/>
  <c r="S315" i="5"/>
  <c r="R315" i="5"/>
  <c r="R347" i="5"/>
  <c r="T347" i="5"/>
  <c r="Q347" i="5"/>
  <c r="Q486" i="5"/>
  <c r="S489" i="5"/>
  <c r="R583" i="5"/>
  <c r="Q583" i="5"/>
  <c r="S583" i="5"/>
  <c r="Q603" i="5"/>
  <c r="R603" i="5"/>
  <c r="T603" i="5"/>
  <c r="S603" i="5"/>
  <c r="R362" i="5"/>
  <c r="R354" i="5"/>
  <c r="T359" i="5"/>
  <c r="T355" i="5"/>
  <c r="S432" i="5"/>
  <c r="R435" i="5"/>
  <c r="T350" i="5"/>
  <c r="T354" i="5"/>
  <c r="S358" i="5"/>
  <c r="S366" i="5"/>
  <c r="S431" i="5"/>
  <c r="S435" i="5"/>
  <c r="S439" i="5"/>
  <c r="R443" i="5"/>
  <c r="T456" i="5"/>
  <c r="R467" i="5"/>
  <c r="S485" i="5"/>
  <c r="Q481" i="5"/>
  <c r="R489" i="5"/>
  <c r="Q479" i="5"/>
  <c r="T487" i="5"/>
  <c r="T575" i="5"/>
  <c r="Q575" i="5"/>
  <c r="R575" i="5"/>
  <c r="R579" i="5"/>
  <c r="S579" i="5"/>
  <c r="T579" i="5"/>
  <c r="T595" i="5"/>
  <c r="Q595" i="5"/>
  <c r="S595" i="5"/>
  <c r="R615" i="5"/>
  <c r="T615" i="5"/>
  <c r="Q615" i="5"/>
  <c r="Q467" i="5"/>
  <c r="S627" i="5"/>
  <c r="T627" i="5"/>
  <c r="R627" i="5"/>
  <c r="R666" i="5"/>
  <c r="S666" i="5"/>
  <c r="T666" i="5"/>
  <c r="Q666" i="5"/>
  <c r="R346" i="5"/>
  <c r="S354" i="5"/>
  <c r="Q366" i="5"/>
  <c r="R355" i="5"/>
  <c r="R439" i="5"/>
  <c r="S443" i="5"/>
  <c r="T353" i="5"/>
  <c r="T361" i="5"/>
  <c r="R434" i="5"/>
  <c r="S467" i="5"/>
  <c r="S481" i="5"/>
  <c r="T504" i="5"/>
  <c r="Q504" i="5"/>
  <c r="R504" i="5"/>
  <c r="S504" i="5"/>
  <c r="T583" i="5"/>
  <c r="S607" i="5"/>
  <c r="Q607" i="5"/>
  <c r="T607" i="5"/>
  <c r="R607" i="5"/>
  <c r="T431" i="5"/>
  <c r="R478" i="5"/>
  <c r="Q478" i="5"/>
  <c r="T486" i="5"/>
  <c r="R479" i="5"/>
  <c r="S487" i="5"/>
  <c r="Q571" i="5"/>
  <c r="S571" i="5"/>
  <c r="R571" i="5"/>
  <c r="R574" i="5"/>
  <c r="T574" i="5"/>
  <c r="Q619" i="5"/>
  <c r="R619" i="5"/>
  <c r="T619" i="5"/>
  <c r="S619" i="5"/>
  <c r="R631" i="5"/>
  <c r="T631" i="5"/>
  <c r="Q631" i="5"/>
  <c r="R598" i="5"/>
  <c r="T598" i="5"/>
  <c r="Q598" i="5"/>
  <c r="Q574" i="5"/>
  <c r="Q567" i="5"/>
  <c r="T567" i="5"/>
  <c r="S580" i="5"/>
  <c r="T580" i="5"/>
  <c r="R580" i="5"/>
  <c r="S611" i="5"/>
  <c r="T611" i="5"/>
  <c r="R611" i="5"/>
  <c r="R585" i="5"/>
  <c r="S628" i="5"/>
  <c r="S612" i="5"/>
  <c r="S586" i="5"/>
  <c r="Q628" i="5"/>
  <c r="Q604" i="5"/>
  <c r="Q671" i="5"/>
  <c r="T585" i="5"/>
  <c r="T624" i="5"/>
  <c r="T620" i="5"/>
  <c r="T616" i="5"/>
  <c r="T612" i="5"/>
  <c r="Q608" i="5"/>
  <c r="T604" i="5"/>
  <c r="T599" i="5"/>
  <c r="T671" i="5"/>
  <c r="T762" i="5"/>
  <c r="S763" i="5"/>
  <c r="S624" i="5"/>
  <c r="S608" i="5"/>
  <c r="R671" i="5"/>
  <c r="Q560" i="5"/>
  <c r="Q565" i="5"/>
  <c r="R561" i="5"/>
  <c r="R588" i="5"/>
  <c r="T582" i="5"/>
  <c r="S589" i="5"/>
  <c r="R587" i="5"/>
  <c r="S620" i="5"/>
  <c r="S604" i="5"/>
  <c r="Q620" i="5"/>
  <c r="S672" i="5"/>
  <c r="T804" i="5"/>
  <c r="Q761" i="5"/>
  <c r="S767" i="5"/>
  <c r="Q768" i="5"/>
  <c r="Q661" i="5"/>
  <c r="S560" i="5"/>
  <c r="T561" i="5"/>
  <c r="T590" i="5"/>
  <c r="T608" i="5"/>
  <c r="R624" i="5"/>
  <c r="R761" i="5"/>
  <c r="Q762" i="5"/>
  <c r="R768" i="5"/>
  <c r="S761" i="5"/>
  <c r="R762" i="5"/>
  <c r="Q763" i="5"/>
  <c r="S768" i="5"/>
  <c r="T560" i="5"/>
  <c r="S590" i="5"/>
  <c r="C30" i="62"/>
  <c r="O8" i="5" l="1"/>
  <c r="N28" i="50"/>
  <c r="I45" i="50"/>
  <c r="I170" i="5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C11" i="51"/>
  <c r="C12" i="51" s="1"/>
  <c r="I660" i="5"/>
  <c r="C34" i="62"/>
  <c r="C48" i="62" s="1"/>
  <c r="H53" i="53"/>
  <c r="W43" i="56"/>
  <c r="X43" i="56" s="1"/>
  <c r="X40" i="56"/>
  <c r="H48" i="62"/>
  <c r="X37" i="56"/>
  <c r="I257" i="5"/>
  <c r="I258" i="5" s="1"/>
  <c r="I259" i="5" s="1"/>
  <c r="I661" i="5"/>
  <c r="I659" i="5"/>
  <c r="I662" i="5" s="1"/>
  <c r="I752" i="5"/>
  <c r="I751" i="5"/>
  <c r="I753" i="5" s="1"/>
  <c r="I754" i="5" s="1"/>
  <c r="I755" i="5" s="1"/>
  <c r="I756" i="5" s="1"/>
  <c r="I757" i="5" s="1"/>
  <c r="I758" i="5" s="1"/>
  <c r="I759" i="5" s="1"/>
  <c r="I760" i="5" s="1"/>
  <c r="I761" i="5" s="1"/>
  <c r="I762" i="5" s="1"/>
  <c r="I763" i="5" s="1"/>
  <c r="I764" i="5" s="1"/>
  <c r="I765" i="5" s="1"/>
  <c r="I766" i="5" s="1"/>
  <c r="I767" i="5" s="1"/>
  <c r="I768" i="5" s="1"/>
  <c r="I455" i="5"/>
  <c r="I454" i="5"/>
  <c r="I456" i="5" s="1"/>
  <c r="I457" i="5" s="1"/>
  <c r="I458" i="5" s="1"/>
  <c r="I459" i="5" s="1"/>
  <c r="I460" i="5" s="1"/>
  <c r="I545" i="5"/>
  <c r="I547" i="5"/>
  <c r="I548" i="5" s="1"/>
  <c r="I549" i="5" s="1"/>
  <c r="I550" i="5" s="1"/>
  <c r="I551" i="5" s="1"/>
  <c r="I552" i="5" s="1"/>
  <c r="I553" i="5" s="1"/>
  <c r="C104" i="5"/>
  <c r="C103" i="5"/>
  <c r="C105" i="5" s="1"/>
  <c r="C106" i="5" s="1"/>
  <c r="C107" i="5" s="1"/>
  <c r="C108" i="5" s="1"/>
  <c r="C109" i="5" s="1"/>
  <c r="C110" i="5" s="1"/>
  <c r="C111" i="5" s="1"/>
  <c r="C112" i="5" s="1"/>
  <c r="I50" i="53" l="1"/>
  <c r="I53" i="53" s="1"/>
  <c r="I61" i="53" s="1"/>
  <c r="C49" i="62"/>
  <c r="M12" i="62" s="1"/>
  <c r="M14" i="62" s="1"/>
  <c r="M43" i="58"/>
  <c r="L43" i="58"/>
  <c r="C114" i="5"/>
  <c r="C113" i="5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I663" i="5"/>
  <c r="I665" i="5" s="1"/>
  <c r="I667" i="5" s="1"/>
  <c r="I669" i="5" s="1"/>
  <c r="I671" i="5" s="1"/>
  <c r="I673" i="5" s="1"/>
  <c r="I664" i="5"/>
  <c r="I666" i="5" s="1"/>
  <c r="I668" i="5" s="1"/>
  <c r="I670" i="5" s="1"/>
  <c r="I672" i="5" s="1"/>
  <c r="I461" i="5"/>
  <c r="I463" i="5" s="1"/>
  <c r="I464" i="5" s="1"/>
  <c r="I465" i="5" s="1"/>
  <c r="I466" i="5" s="1"/>
  <c r="I467" i="5" s="1"/>
  <c r="I462" i="5"/>
  <c r="O43" i="58" l="1"/>
  <c r="C137" i="5"/>
  <c r="C139" i="5" s="1"/>
  <c r="C136" i="5"/>
  <c r="C138" i="5" s="1"/>
  <c r="C140" i="5" s="1"/>
  <c r="I827" i="5"/>
  <c r="I828" i="5" s="1"/>
  <c r="I829" i="5" s="1"/>
  <c r="I830" i="5" l="1"/>
  <c r="I832" i="5" s="1"/>
  <c r="I833" i="5" s="1"/>
  <c r="I834" i="5" s="1"/>
  <c r="I835" i="5" s="1"/>
  <c r="I836" i="5" s="1"/>
  <c r="I837" i="5" s="1"/>
  <c r="I838" i="5" s="1"/>
  <c r="I839" i="5" s="1"/>
  <c r="I840" i="5" s="1"/>
  <c r="I831" i="5"/>
  <c r="I841" i="5" l="1"/>
  <c r="I843" i="5" s="1"/>
  <c r="I844" i="5" s="1"/>
  <c r="I845" i="5" s="1"/>
  <c r="I846" i="5" s="1"/>
  <c r="I847" i="5" s="1"/>
  <c r="I848" i="5" s="1"/>
  <c r="I849" i="5" s="1"/>
  <c r="I850" i="5" s="1"/>
  <c r="I851" i="5" s="1"/>
  <c r="I852" i="5" s="1"/>
  <c r="I853" i="5" s="1"/>
  <c r="I854" i="5" s="1"/>
  <c r="I855" i="5" s="1"/>
  <c r="I856" i="5" s="1"/>
  <c r="I857" i="5" s="1"/>
  <c r="E8" i="5" s="1"/>
  <c r="I842" i="5"/>
  <c r="I858" i="5" l="1"/>
  <c r="I859" i="5" s="1"/>
  <c r="I860" i="5" s="1"/>
  <c r="I861" i="5" s="1"/>
</calcChain>
</file>

<file path=xl/sharedStrings.xml><?xml version="1.0" encoding="utf-8"?>
<sst xmlns="http://schemas.openxmlformats.org/spreadsheetml/2006/main" count="5742" uniqueCount="1014">
  <si>
    <t xml:space="preserve">Pour la période de </t>
  </si>
  <si>
    <t>Date</t>
  </si>
  <si>
    <t>Désignation</t>
  </si>
  <si>
    <t>N° de pièce</t>
  </si>
  <si>
    <t>à</t>
  </si>
  <si>
    <t>Transport matériel de récup (NELTRANS)</t>
  </si>
  <si>
    <t>Matériel bueautique</t>
  </si>
  <si>
    <t>Corbeille Courrier</t>
  </si>
  <si>
    <t>Assurance MAIF</t>
  </si>
  <si>
    <t>Adhésion RAHMI</t>
  </si>
  <si>
    <t>Achat agrafeuse</t>
  </si>
  <si>
    <t>Adhésion helloAsso</t>
  </si>
  <si>
    <t>Courrier Poste/prefect,</t>
  </si>
  <si>
    <t>Adhésion et  don LAFON</t>
  </si>
  <si>
    <t>Adhésion et  don FERILLOT</t>
  </si>
  <si>
    <t>Adhésion et  don ALIOUNE</t>
  </si>
  <si>
    <t>Adhésion et  don SOSSOU</t>
  </si>
  <si>
    <t>Adhésion et  don AGBIDI</t>
  </si>
  <si>
    <t>Adhésion et  don DAMETARE</t>
  </si>
  <si>
    <t>Adhésion et  don Béatrice</t>
  </si>
  <si>
    <t>Frais hydrogéologique nokbak</t>
  </si>
  <si>
    <t>Adhésion Evelyne LAFON</t>
  </si>
  <si>
    <t>Muriel PECASSOU</t>
  </si>
  <si>
    <t>Muriel BOUYER</t>
  </si>
  <si>
    <t>Don Monique Maillebiau</t>
  </si>
  <si>
    <t>Achat de timbres</t>
  </si>
  <si>
    <t>Christine SAVIGNOL</t>
  </si>
  <si>
    <t>Alain PONS</t>
  </si>
  <si>
    <t>Isabelle MESPLESOMPS</t>
  </si>
  <si>
    <t>Achat</t>
  </si>
  <si>
    <t>Fournitures de bureau et consommables</t>
  </si>
  <si>
    <t>Prestations de services</t>
  </si>
  <si>
    <t>Produits des activités annexes</t>
  </si>
  <si>
    <t>Fournitures non stockables (eau, électricité)</t>
  </si>
  <si>
    <t>Divers</t>
  </si>
  <si>
    <t>Fournitures administratives</t>
  </si>
  <si>
    <t>Autres matières et fournitures</t>
  </si>
  <si>
    <t>Services extérieurs</t>
  </si>
  <si>
    <t>Subventions d'exploitation</t>
  </si>
  <si>
    <t>Etats (Préfecture - DRJSCS)</t>
  </si>
  <si>
    <t>Loyer et charges locatives (location)</t>
  </si>
  <si>
    <t>Entretien et réparations</t>
  </si>
  <si>
    <t>Documentation générale</t>
  </si>
  <si>
    <t>Autres services extérieurs</t>
  </si>
  <si>
    <t>Honoraires (comptable)</t>
  </si>
  <si>
    <t>Ville de Bordeaux</t>
  </si>
  <si>
    <t>Publicité, publications, Création de site web</t>
  </si>
  <si>
    <t>Mairie de Saint-Loubès</t>
  </si>
  <si>
    <t>Déplacements, missions et réceptions</t>
  </si>
  <si>
    <t>Voyages et déplacements</t>
  </si>
  <si>
    <t>Missions et manifestations</t>
  </si>
  <si>
    <t>Mairie de Teuillac</t>
  </si>
  <si>
    <t>Frais postaux et de télécommunications</t>
  </si>
  <si>
    <t>Autres produits de gestion courante</t>
  </si>
  <si>
    <t>Frais postaux</t>
  </si>
  <si>
    <t>Produits divers de gestion courante</t>
  </si>
  <si>
    <t>Frais de téléphone, fax et portables</t>
  </si>
  <si>
    <t>Cotisations individuelles et associatives</t>
  </si>
  <si>
    <t>Partenariats et manifestations</t>
  </si>
  <si>
    <t>Publicités, publications, site web</t>
  </si>
  <si>
    <t>Fonds propres</t>
  </si>
  <si>
    <t>Produits financiers</t>
  </si>
  <si>
    <t>Charges de personnel</t>
  </si>
  <si>
    <t>Rémunérations du personnel (salaire brut)</t>
  </si>
  <si>
    <t>Charges de sécurité sociale et de prévoyance</t>
  </si>
  <si>
    <t>Produits exceptionnels</t>
  </si>
  <si>
    <t>Autres charges de personnel</t>
  </si>
  <si>
    <t>Dons et autres mises à dispositions gratuites</t>
  </si>
  <si>
    <t>Mise à disposition gratuites de biens</t>
  </si>
  <si>
    <t>Autres partenariats</t>
  </si>
  <si>
    <t>Prestations de services (Hydrogéologue Nokbak)</t>
  </si>
  <si>
    <t xml:space="preserve">Sous-traitance générale </t>
  </si>
  <si>
    <t>Région Nouvelle-Aquitaine</t>
  </si>
  <si>
    <t>AMP-GRATITUDE</t>
  </si>
  <si>
    <t>COMPTE</t>
  </si>
  <si>
    <r>
      <rPr>
        <b/>
        <sz val="11"/>
        <color theme="1"/>
        <rFont val="Calibri (Textkörper)"/>
      </rPr>
      <t>A</t>
    </r>
    <r>
      <rPr>
        <sz val="11"/>
        <color theme="1"/>
        <rFont val="Calibri (Textkörper)"/>
      </rPr>
      <t>ctions d'</t>
    </r>
    <r>
      <rPr>
        <b/>
        <sz val="11"/>
        <color theme="1"/>
        <rFont val="Calibri (Textkörper)"/>
      </rPr>
      <t>A</t>
    </r>
    <r>
      <rPr>
        <sz val="11"/>
        <color theme="1"/>
        <rFont val="Calibri (Textkörper)"/>
      </rPr>
      <t xml:space="preserve">utopromotion de </t>
    </r>
    <r>
      <rPr>
        <b/>
        <sz val="11"/>
        <color theme="1"/>
        <rFont val="Calibri (Textkörper)"/>
      </rPr>
      <t>D</t>
    </r>
    <r>
      <rPr>
        <sz val="11"/>
        <color theme="1"/>
        <rFont val="Calibri (Textkörper)"/>
      </rPr>
      <t xml:space="preserve">eveloppement </t>
    </r>
    <r>
      <rPr>
        <b/>
        <sz val="11"/>
        <color theme="1"/>
        <rFont val="Calibri (Textkörper)"/>
      </rPr>
      <t>D</t>
    </r>
    <r>
      <rPr>
        <sz val="11"/>
        <color theme="1"/>
        <rFont val="Calibri (Textkörper)"/>
      </rPr>
      <t xml:space="preserve">urable </t>
    </r>
    <r>
      <rPr>
        <b/>
        <sz val="11"/>
        <color theme="1"/>
        <rFont val="Calibri (Textkörper)"/>
      </rPr>
      <t>(2A2D)</t>
    </r>
  </si>
  <si>
    <t>LIBELLE</t>
  </si>
  <si>
    <t>LIB RGPT</t>
  </si>
  <si>
    <t>RGPT</t>
  </si>
  <si>
    <t>BQ</t>
  </si>
  <si>
    <t>BANQUE</t>
  </si>
  <si>
    <t>CAISSE</t>
  </si>
  <si>
    <t>OD</t>
  </si>
  <si>
    <t>OPERATIONS DIVERSES</t>
  </si>
  <si>
    <t>Nom de l'association :  2A2D</t>
  </si>
  <si>
    <t>CHARGES</t>
  </si>
  <si>
    <t>Achats (sauf 603)</t>
  </si>
  <si>
    <t>Autres charges</t>
  </si>
  <si>
    <t>Matières premières</t>
  </si>
  <si>
    <t>Impôts et taxes</t>
  </si>
  <si>
    <t>Autres approvisionnements</t>
  </si>
  <si>
    <t>Autres charges de gestion courante</t>
  </si>
  <si>
    <t>Charges financières</t>
  </si>
  <si>
    <t>Matériels, équipements et travaux</t>
  </si>
  <si>
    <t>Charges exceptionnelles</t>
  </si>
  <si>
    <t>Dotations aux amortissements</t>
  </si>
  <si>
    <t>Total achats</t>
  </si>
  <si>
    <t>Impôts sur les sociétés</t>
  </si>
  <si>
    <t>Variation des stocks</t>
  </si>
  <si>
    <t>Total autres charges</t>
  </si>
  <si>
    <t>TOTAL CHARGES</t>
  </si>
  <si>
    <t>Sous-traitance générale</t>
  </si>
  <si>
    <t>Redevances de crédit-bail</t>
  </si>
  <si>
    <t>PRODUITS</t>
  </si>
  <si>
    <t>Locations</t>
  </si>
  <si>
    <t>Ventes de produits et services</t>
  </si>
  <si>
    <t>Charges locatives</t>
  </si>
  <si>
    <t>Ventes de produits finis</t>
  </si>
  <si>
    <t>Ventes de produits intermédiaires</t>
  </si>
  <si>
    <t>Travaux</t>
  </si>
  <si>
    <t>Etudes et recherches</t>
  </si>
  <si>
    <t>Etudes</t>
  </si>
  <si>
    <t>Total services extérieurs</t>
  </si>
  <si>
    <t>Ventes de marchandises</t>
  </si>
  <si>
    <t>Personnel extérieur</t>
  </si>
  <si>
    <t>Total ventes</t>
  </si>
  <si>
    <t>Rémunérations d'intermédiaires</t>
  </si>
  <si>
    <t>Produits de gestion</t>
  </si>
  <si>
    <t>Redevances pour concessions</t>
  </si>
  <si>
    <t>Collectes</t>
  </si>
  <si>
    <t>Cotisations</t>
  </si>
  <si>
    <t>Produits divers de gestion</t>
  </si>
  <si>
    <t>Services bancaires et assimilés</t>
  </si>
  <si>
    <t>Total produits de gestion</t>
  </si>
  <si>
    <t>divers</t>
  </si>
  <si>
    <t>adhesion Hellasso</t>
  </si>
  <si>
    <t>adhésion RAHMI</t>
  </si>
  <si>
    <t>Autres produits</t>
  </si>
  <si>
    <t>Total autres services extérieurs</t>
  </si>
  <si>
    <t>Production stockée</t>
  </si>
  <si>
    <t>Production Immobilisée</t>
  </si>
  <si>
    <t>Produits de la tarification</t>
  </si>
  <si>
    <t>Rémunérations du personnel</t>
  </si>
  <si>
    <t>Charges de sécurité sociale</t>
  </si>
  <si>
    <t>Autres charges sociales</t>
  </si>
  <si>
    <t>Autres charges du personnel</t>
  </si>
  <si>
    <t>Reprises sur amortissements</t>
  </si>
  <si>
    <t>Total charges de personnel</t>
  </si>
  <si>
    <t>Transferts de charges</t>
  </si>
  <si>
    <t>Emplois des contributions volontaires</t>
  </si>
  <si>
    <t>Total autres produits</t>
  </si>
  <si>
    <t>Secours en nature</t>
  </si>
  <si>
    <t>Contributions volontaires</t>
  </si>
  <si>
    <t>Mise à disposition gratuite de biens</t>
  </si>
  <si>
    <t>Bénévolat</t>
  </si>
  <si>
    <t>Prestations</t>
  </si>
  <si>
    <t>Prestations en nature</t>
  </si>
  <si>
    <t>Personnels bénévoles</t>
  </si>
  <si>
    <t>Dons en nature</t>
  </si>
  <si>
    <t>Total emplois des contributions</t>
  </si>
  <si>
    <t>Total contributions volontaires</t>
  </si>
  <si>
    <t>TOTAL PRODUITS</t>
  </si>
  <si>
    <t>à compléter</t>
  </si>
  <si>
    <t>formules</t>
  </si>
  <si>
    <t>Journal</t>
  </si>
  <si>
    <t>Transports</t>
  </si>
  <si>
    <t>CH/PDTS</t>
  </si>
  <si>
    <t>chges</t>
  </si>
  <si>
    <t>pdts</t>
  </si>
  <si>
    <t>résultats</t>
  </si>
  <si>
    <t>Banque</t>
  </si>
  <si>
    <t>Résultat</t>
  </si>
  <si>
    <t>solde ouverture</t>
  </si>
  <si>
    <t>bilan</t>
  </si>
  <si>
    <t>CH/PDT</t>
  </si>
  <si>
    <t>Total général</t>
  </si>
  <si>
    <t>Dotations aux amort et aux prov</t>
  </si>
  <si>
    <t>Primes d'assurance</t>
  </si>
  <si>
    <t>Livres comptables</t>
  </si>
  <si>
    <t>R/B</t>
  </si>
  <si>
    <t>réel</t>
  </si>
  <si>
    <t>FN</t>
  </si>
  <si>
    <t>FA</t>
  </si>
  <si>
    <t>VO</t>
  </si>
  <si>
    <t>Année</t>
  </si>
  <si>
    <t>Cot mens CLEMENT (Janv-Déc)</t>
  </si>
  <si>
    <t>Charges</t>
  </si>
  <si>
    <t>Produits</t>
  </si>
  <si>
    <t xml:space="preserve"> Fournitures de bureau et consommables</t>
  </si>
  <si>
    <t>Prestations et services (hydrogéologue)</t>
  </si>
  <si>
    <t>Produits des activités annexes (manifestations)</t>
  </si>
  <si>
    <t>Divers chèques vacances" vacances ouvertes""</t>
  </si>
  <si>
    <t>Publicité, publications, relation publiques</t>
  </si>
  <si>
    <t>GHM AMP et Gratitude</t>
  </si>
  <si>
    <t>subvention à solliciter  (Région NA?)</t>
  </si>
  <si>
    <t>mairie Teuillac</t>
  </si>
  <si>
    <t>Cotisation individuelles et associatives</t>
  </si>
  <si>
    <t>Frais de téléphone, fax et portable</t>
  </si>
  <si>
    <t>Cotisation extérieures</t>
  </si>
  <si>
    <t>Projets internationaux  (Lomé GH Menstruelle)</t>
  </si>
  <si>
    <t>Projets internationaux (Dassout Teuillac)</t>
  </si>
  <si>
    <t>Projet "vacances ouvertes"</t>
  </si>
  <si>
    <t>Dons et autres à solliciter</t>
  </si>
  <si>
    <t>bénévolat GHM</t>
  </si>
  <si>
    <t>bénévolat gHM</t>
  </si>
  <si>
    <t xml:space="preserve"> bénévolat+ AUTRES CHARGES</t>
  </si>
  <si>
    <t>Bénévolat + autres charges</t>
  </si>
  <si>
    <t>budget</t>
  </si>
  <si>
    <t>GHM</t>
  </si>
  <si>
    <t>pour une comptabilité de trésorerie</t>
  </si>
  <si>
    <t>3/ JOURNAUX</t>
  </si>
  <si>
    <t>Forage partenariat Aqafi-2a2d</t>
  </si>
  <si>
    <t>CODE</t>
  </si>
  <si>
    <t>DESIGNATION</t>
  </si>
  <si>
    <t>LIBELLE REGROUPEMENT</t>
  </si>
  <si>
    <t>Subventions</t>
  </si>
  <si>
    <t>Ventes et prestations de services</t>
  </si>
  <si>
    <t>ESP</t>
  </si>
  <si>
    <t>COMPTE (facultatif)</t>
  </si>
  <si>
    <t>Caisse</t>
  </si>
  <si>
    <t>Trésorerie</t>
  </si>
  <si>
    <t>Dépenses</t>
  </si>
  <si>
    <t>Ressources</t>
  </si>
  <si>
    <t xml:space="preserve">Détail des postes budgétaires              </t>
  </si>
  <si>
    <t>%</t>
  </si>
  <si>
    <t>Origine</t>
  </si>
  <si>
    <t>Acquis</t>
  </si>
  <si>
    <t>Nature</t>
  </si>
  <si>
    <t>Mode de calcul</t>
  </si>
  <si>
    <t>Total des valorisations</t>
  </si>
  <si>
    <t>Frais de formation</t>
  </si>
  <si>
    <t>Virement Madame clement</t>
  </si>
  <si>
    <t>50% Region NA GHM</t>
  </si>
  <si>
    <t>Maif</t>
  </si>
  <si>
    <t>Rejet Virement IDAAFE</t>
  </si>
  <si>
    <t>virt Guilde Européenne du Raid</t>
  </si>
  <si>
    <t>NATURE</t>
  </si>
  <si>
    <t>Frais bancaires</t>
  </si>
  <si>
    <t>virt Initiative citoyenne</t>
  </si>
  <si>
    <t>Comm transfert</t>
  </si>
  <si>
    <t>DT1</t>
  </si>
  <si>
    <t>Dassoute Teuillac "avril 21,scolaire et maraichage"</t>
  </si>
  <si>
    <t>DT2</t>
  </si>
  <si>
    <t>Dassoute Teuillac " construction apatam"</t>
  </si>
  <si>
    <t>DT3</t>
  </si>
  <si>
    <t>Dassoute Teuillac "à définir"</t>
  </si>
  <si>
    <t>Solde cumulé</t>
  </si>
  <si>
    <t>Chèque assurance RC</t>
  </si>
  <si>
    <t>Remise de chèque adhésion</t>
  </si>
  <si>
    <t>Remise de chèque adhésions</t>
  </si>
  <si>
    <t>Remise de chèque dons Teuillac</t>
  </si>
  <si>
    <t>Chèque rbt frais envoi</t>
  </si>
  <si>
    <t>Remise de chèque adhésions +dons</t>
  </si>
  <si>
    <t>Chèque fourn scol  et matériels</t>
  </si>
  <si>
    <t>Remise de chèque dons école</t>
  </si>
  <si>
    <t>Virement etranger IDAAFE construction</t>
  </si>
  <si>
    <t>prelècement frais virement IDAAFE</t>
  </si>
  <si>
    <t>prélèvement frais bancaires</t>
  </si>
  <si>
    <t>Chèque envoi cartons livres collège</t>
  </si>
  <si>
    <t>Chèque matériaux const école</t>
  </si>
  <si>
    <t>chèque matériaux construction</t>
  </si>
  <si>
    <t>Bénéficiaire</t>
  </si>
  <si>
    <t>MAIF</t>
  </si>
  <si>
    <t>2A2D</t>
  </si>
  <si>
    <t>INGENIERIE</t>
  </si>
  <si>
    <t>NAMKA</t>
  </si>
  <si>
    <t>IDAAFE</t>
  </si>
  <si>
    <t>CA</t>
  </si>
  <si>
    <t>ICTDP</t>
  </si>
  <si>
    <t>EZI</t>
  </si>
  <si>
    <t>INTERMARCHE</t>
  </si>
  <si>
    <t>CARREFOUR</t>
  </si>
  <si>
    <t>M.FERILLOT</t>
  </si>
  <si>
    <t>SOSH</t>
  </si>
  <si>
    <t>HYGIENE MENSTRUELLE</t>
  </si>
  <si>
    <t>DASSOUTE TEUILLAC CONST ECOLE</t>
  </si>
  <si>
    <t>DASSOUTE TEUILLAC FOURN SCOLAIRES</t>
  </si>
  <si>
    <t>DASSOUTE TEUILLAC COLLEGE</t>
  </si>
  <si>
    <t>DASSOUTE TEUILLAC CANTINE</t>
  </si>
  <si>
    <t>DASSOUTE TEUILLAC MARAICHAGE</t>
  </si>
  <si>
    <t>FORAGE NOKBAK</t>
  </si>
  <si>
    <t>écart budget</t>
  </si>
  <si>
    <t>PROJET VACANCES OUVERTES</t>
  </si>
  <si>
    <t>ADM</t>
  </si>
  <si>
    <t>Autres pdts de gestion courante</t>
  </si>
  <si>
    <t>1/ PROJETS pour Namka</t>
  </si>
  <si>
    <t>2 / NATURE pour Namka</t>
  </si>
  <si>
    <t>Adhésions association</t>
  </si>
  <si>
    <t>Frais de fonctionnement et fourniture</t>
  </si>
  <si>
    <t>Assurance RC</t>
  </si>
  <si>
    <t>Frais d'envoi</t>
  </si>
  <si>
    <t>Dons et participations à l"association</t>
  </si>
  <si>
    <t>Frais de mission</t>
  </si>
  <si>
    <t>Frais de banque</t>
  </si>
  <si>
    <t>prestations études</t>
  </si>
  <si>
    <t>Subventions Teuillac</t>
  </si>
  <si>
    <t>Achats matériaux</t>
  </si>
  <si>
    <t>Achats fournitures et matériels</t>
  </si>
  <si>
    <t>Code Projet</t>
  </si>
  <si>
    <t>Chèque matériaux</t>
  </si>
  <si>
    <t>Remise cheques adhésions</t>
  </si>
  <si>
    <t>Remise cheques dons école</t>
  </si>
  <si>
    <t>virement étranger HM</t>
  </si>
  <si>
    <t>chèque construction école</t>
  </si>
  <si>
    <t>chèque founrniture bureau</t>
  </si>
  <si>
    <t>chèque frais de téléphone</t>
  </si>
  <si>
    <t>chèque fourniture association</t>
  </si>
  <si>
    <t>rbt voyage mission HM</t>
  </si>
  <si>
    <t>3 / PLAN COMPTABLE pour Frédéric</t>
  </si>
  <si>
    <t>COMPTA</t>
  </si>
  <si>
    <t>Entrées</t>
  </si>
  <si>
    <t>Sorties</t>
  </si>
  <si>
    <t>LIB Projet (formule)</t>
  </si>
  <si>
    <t>LIB NATURE (formule)</t>
  </si>
  <si>
    <t>ZZ</t>
  </si>
  <si>
    <t>reclassement remises TEUILLAC</t>
  </si>
  <si>
    <t>DT5</t>
  </si>
  <si>
    <t>DT1F</t>
  </si>
  <si>
    <t>DT1M</t>
  </si>
  <si>
    <t>reclassement frais bancaires</t>
  </si>
  <si>
    <t>reclassement achats matériels</t>
  </si>
  <si>
    <t>reclass chèque construction école</t>
  </si>
  <si>
    <t>documentation générale</t>
  </si>
  <si>
    <t>déplacements</t>
  </si>
  <si>
    <t>produits activités annexes</t>
  </si>
  <si>
    <t>produits divers</t>
  </si>
  <si>
    <t>montant</t>
  </si>
  <si>
    <t>chèque adhésion savignol</t>
  </si>
  <si>
    <t>Adhésion Fréderic LAFON</t>
  </si>
  <si>
    <t>Adhésion  Combarel</t>
  </si>
  <si>
    <t>Adhésion Pecassou</t>
  </si>
  <si>
    <t>adhésion et don Ferillot</t>
  </si>
  <si>
    <t>Adhésion et don JPh LAFON</t>
  </si>
  <si>
    <t>Remb, mission cordi togo</t>
  </si>
  <si>
    <t>Adhésion kirat</t>
  </si>
  <si>
    <t>Encre imprimante</t>
  </si>
  <si>
    <t>Achat de 7 mangues repas Togolais</t>
  </si>
  <si>
    <t>Adhésion Evelyne lafon</t>
  </si>
  <si>
    <t>Adhésion MESPLE isabelle</t>
  </si>
  <si>
    <t>Ahésion  BOUYER Muriel</t>
  </si>
  <si>
    <t>Adhésion Alain PONS et Martine G.</t>
  </si>
  <si>
    <t>Don Teuillac Francoise BESSET</t>
  </si>
  <si>
    <t>Don Teuillac PITON Jacques</t>
  </si>
  <si>
    <t>Don Teuillac HERREBOUDT Michele</t>
  </si>
  <si>
    <t>200598017A</t>
  </si>
  <si>
    <t>200584033C</t>
  </si>
  <si>
    <t>lidl</t>
  </si>
  <si>
    <t>earl le jardin</t>
  </si>
  <si>
    <t>Chèque Adhésion socop</t>
  </si>
  <si>
    <t>socop</t>
  </si>
  <si>
    <t>adhésion Hellasso+ autres</t>
  </si>
  <si>
    <t>Rembourssement Ecole</t>
  </si>
  <si>
    <t>Frais céreminie école</t>
  </si>
  <si>
    <t>Don MARTINEZ Leonicio (cantine)</t>
  </si>
  <si>
    <t>Don Jean jacquesARROUARD (Cantine)</t>
  </si>
  <si>
    <t>Communication -internet 2A2D Nov</t>
  </si>
  <si>
    <t>Communication -internet 2A2D Oct</t>
  </si>
  <si>
    <t>675353-2556</t>
  </si>
  <si>
    <t>Rembourssement Achat mangue repas togolais</t>
  </si>
  <si>
    <t>MAIF 2022</t>
  </si>
  <si>
    <t>African food</t>
  </si>
  <si>
    <t>Courses alimentaires Repas Togolais</t>
  </si>
  <si>
    <t xml:space="preserve">Vival </t>
  </si>
  <si>
    <t>Intermarché</t>
  </si>
  <si>
    <t>NELTRANS</t>
  </si>
  <si>
    <t>Frais d'expédition gourdes, sacs- collège</t>
  </si>
  <si>
    <t>Frais d'inauguration école de dassoute</t>
  </si>
  <si>
    <t>PONS/WESTERN</t>
  </si>
  <si>
    <t>Courses repas Togolais</t>
  </si>
  <si>
    <t xml:space="preserve">Noél ecole de DASSOUTE </t>
  </si>
  <si>
    <t>Repas PITON JACQUES</t>
  </si>
  <si>
    <t>Repas Anaud jannick</t>
  </si>
  <si>
    <t>Repas Bernos Michel</t>
  </si>
  <si>
    <t>Repas Jacques ARROUARD</t>
  </si>
  <si>
    <t>Repas Michel BOST</t>
  </si>
  <si>
    <t>REPAS ALAIN KIRAT</t>
  </si>
  <si>
    <t>Repas BESSET LOUIS</t>
  </si>
  <si>
    <t>Repas Martinez LEONICIO</t>
  </si>
  <si>
    <t>Repas PAUVIF FRANCK</t>
  </si>
  <si>
    <t>Repas PAUVIF PAUL</t>
  </si>
  <si>
    <t>Repas CHADOUTAUD</t>
  </si>
  <si>
    <t>Repas Thenadey</t>
  </si>
  <si>
    <t>Repas PONS</t>
  </si>
  <si>
    <t>Repas PONS 2</t>
  </si>
  <si>
    <t>Repas GARANTO</t>
  </si>
  <si>
    <t>Repas lucette JASMIN</t>
  </si>
  <si>
    <t>Repas LEBO</t>
  </si>
  <si>
    <t>Repas FERILLOT</t>
  </si>
  <si>
    <t>Repas ROCUET</t>
  </si>
  <si>
    <t>Repas BELOUGNE</t>
  </si>
  <si>
    <t>Repas GENTET</t>
  </si>
  <si>
    <t>Repas MESNARD MARINIER</t>
  </si>
  <si>
    <t>Repas ROMAT</t>
  </si>
  <si>
    <t>Repas LAFON JPh</t>
  </si>
  <si>
    <t>Don cantine CHADOUTAUD</t>
  </si>
  <si>
    <t>Don cantine ARNAUD JANNICK</t>
  </si>
  <si>
    <t>Don cantine MESNARD</t>
  </si>
  <si>
    <t>Don cantine BELOUGNE</t>
  </si>
  <si>
    <t>Don cantine PAUVIF PAUL</t>
  </si>
  <si>
    <t>Don cantine RIOS PAULETTE</t>
  </si>
  <si>
    <t>Don cantine XX</t>
  </si>
  <si>
    <t>AZOTE</t>
  </si>
  <si>
    <t xml:space="preserve">PRELEVEMENT             
FACTURE 11/2021 N°2133400084474 </t>
  </si>
  <si>
    <t>REMISE ESPECES</t>
  </si>
  <si>
    <t>un élève un repas =cantine</t>
  </si>
  <si>
    <t>AGRICULTURE</t>
  </si>
  <si>
    <t>Sous traitance projet</t>
  </si>
  <si>
    <t>reclassement frais bilan DASSOUTE</t>
  </si>
  <si>
    <t>Charges constatées d'avance</t>
  </si>
  <si>
    <t>CCA</t>
  </si>
  <si>
    <t>Chèque étude forage Togo NOKBAK</t>
  </si>
  <si>
    <t>Frais hydraugéoloque Nokbak?</t>
  </si>
  <si>
    <t>Total pdts</t>
  </si>
  <si>
    <t>Total chges</t>
  </si>
  <si>
    <t>ADMINIST ET FONCT</t>
  </si>
  <si>
    <t>CUMUL</t>
  </si>
  <si>
    <t>LIB Projet</t>
  </si>
  <si>
    <t>LIB NATURE</t>
  </si>
  <si>
    <t>Don gourdes collège</t>
  </si>
  <si>
    <t>communication</t>
  </si>
  <si>
    <t>Fournitures stockées</t>
  </si>
  <si>
    <t>CCA 2021</t>
  </si>
  <si>
    <t>Etudes et prestations</t>
  </si>
  <si>
    <t>Primes d'assurances</t>
  </si>
  <si>
    <t>Publicité et relations publiques</t>
  </si>
  <si>
    <t>Déplacements et réceptions</t>
  </si>
  <si>
    <t>Frais postaux et télécom</t>
  </si>
  <si>
    <t>RESULTAT (excédent ou déficit)</t>
  </si>
  <si>
    <t>Résultat N</t>
  </si>
  <si>
    <t>Achats de marchandises</t>
  </si>
  <si>
    <t>Subventions d'exploitation *</t>
  </si>
  <si>
    <t>SOLDE N-1</t>
  </si>
  <si>
    <t>DT6</t>
  </si>
  <si>
    <t>DT7</t>
  </si>
  <si>
    <t>EGLISE DASSOUTE</t>
  </si>
  <si>
    <t xml:space="preserve">DT8 </t>
  </si>
  <si>
    <t>MATERIELS DASSOUTE</t>
  </si>
  <si>
    <t>Collège Dassoute Teuillac</t>
  </si>
  <si>
    <t>Cantine Dassouet Teuillac</t>
  </si>
  <si>
    <t>agriculture Dassouet Teuillac)</t>
  </si>
  <si>
    <t>église Dassoute Teuillac</t>
  </si>
  <si>
    <t>matériel Dassoute Teuillac</t>
  </si>
  <si>
    <t>formation</t>
  </si>
  <si>
    <t>TOILETTES ECOSAN</t>
  </si>
  <si>
    <t>Lomé GH Menstruelle</t>
  </si>
  <si>
    <t>reprise assurance 2022</t>
  </si>
  <si>
    <t xml:space="preserve">CHEQUE EMIS            poste 
0675367/0000000/000000000 </t>
  </si>
  <si>
    <t xml:space="preserve">Alain PONS </t>
  </si>
  <si>
    <t xml:space="preserve">CHEQUE EMIS          poste   
0675366/0000000/000000000 </t>
  </si>
  <si>
    <t xml:space="preserve">CHEQUE EMIS             
0675362 </t>
  </si>
  <si>
    <t xml:space="preserve">CHEQUE EMIS             
0675365 </t>
  </si>
  <si>
    <t xml:space="preserve">SOUSCRIPTION            
PS. CARBON BLANC CEN </t>
  </si>
  <si>
    <t xml:space="preserve">CHEQUE EMIS             
0675361/0000000/000000000 </t>
  </si>
  <si>
    <r>
      <t xml:space="preserve">REMISE DE CHEQUE      </t>
    </r>
    <r>
      <rPr>
        <sz val="8"/>
        <color rgb="FFFF0000"/>
        <rFont val="Arial"/>
        <family val="2"/>
      </rPr>
      <t xml:space="preserve">  (don monique)</t>
    </r>
    <r>
      <rPr>
        <sz val="8"/>
        <rFont val="Arial"/>
        <family val="2"/>
      </rPr>
      <t xml:space="preserve">
4543841 </t>
    </r>
  </si>
  <si>
    <t>Reminse de chèque  1505 fraternité</t>
  </si>
  <si>
    <t>REMISE DE CHEQUE 0443 fraternité</t>
  </si>
  <si>
    <t>REMISE DE CHEQUE 2635977 fraternité</t>
  </si>
  <si>
    <t>Chèque émi 0675369 Com février</t>
  </si>
  <si>
    <t>Chèque émi 0675368 adhésion socop</t>
  </si>
  <si>
    <t>SOCOP</t>
  </si>
  <si>
    <t>Chèque émi 0675370</t>
  </si>
  <si>
    <t>Chèque émi 0675371</t>
  </si>
  <si>
    <t>Remise de chèque 1506  (PONS cantine)</t>
  </si>
  <si>
    <t>Remise de chèq 200501040B  (Corrieras cantine)</t>
  </si>
  <si>
    <t>Remise de chèque,6886437  Adhés Namka</t>
  </si>
  <si>
    <t>Remise de chèque,19744157 Adhés Alioune</t>
  </si>
  <si>
    <t>Remise de chèque, 3208669,PONS</t>
  </si>
  <si>
    <t>Remise de chèque, 447 Piton Jacques</t>
  </si>
  <si>
    <t>Chéque émi, Com mars, 0675372</t>
  </si>
  <si>
    <t>Chèque émi, Convivialité AG 14 mars</t>
  </si>
  <si>
    <t>Remise de chèque, 5472813,Gateau</t>
  </si>
  <si>
    <t>Remise de chèque, 3208672,Pons</t>
  </si>
  <si>
    <t>Remise de chèque,1313991, Hetier</t>
  </si>
  <si>
    <t>Remise de chèque, 2420054,Royon</t>
  </si>
  <si>
    <t>Remise de chèque, 3208670,Pons</t>
  </si>
  <si>
    <t>Remise de chèque, 32335,Herreboudt</t>
  </si>
  <si>
    <t>Remise de chèque, 4155642, Lebo</t>
  </si>
  <si>
    <t>Remise de chèque, 053, Kirat</t>
  </si>
  <si>
    <t>Remise de chèque, 0989, Besset-Louis</t>
  </si>
  <si>
    <t>Remise de chèque, 7773651, Jasmin</t>
  </si>
  <si>
    <t>Remise de chèque,1509, Alain Pons</t>
  </si>
  <si>
    <t>Remise de chèque,1508, Alain Pons</t>
  </si>
  <si>
    <t>Chèque émi, com Avril, 4055716</t>
  </si>
  <si>
    <t>Chèque émi, Guilde, Sanitaire, 4055717</t>
  </si>
  <si>
    <t>Remise de Chèque 1508, Alain PONS</t>
  </si>
  <si>
    <t xml:space="preserve">Virement département collège Dassoute  160330900001002022-05-1330561    </t>
  </si>
  <si>
    <t xml:space="preserve">Remise de chèque par Alain, 3536029 </t>
  </si>
  <si>
    <t>Virement IDAAFE, engrais-Cantine E2202010565</t>
  </si>
  <si>
    <t>Frais de virement IDAAFE E2202010565</t>
  </si>
  <si>
    <t>Crédit Agricole</t>
  </si>
  <si>
    <t>Chèque émi, 0675374, Voyage Eloi</t>
  </si>
  <si>
    <t>Billet d'avion Evaluation GHM 3</t>
  </si>
  <si>
    <t>2A2D à soustraire</t>
  </si>
  <si>
    <t>Billet d'avion Evaluation GHM 2</t>
  </si>
  <si>
    <t xml:space="preserve">CHEQUE EMIS             
4055744/0000000/000000000 </t>
  </si>
  <si>
    <t xml:space="preserve">REMISE DE CHEQUE        
2941638 </t>
  </si>
  <si>
    <t xml:space="preserve">VIREMENT EN VOTRE FAVEUR
LEMONWAY LEWSCTU890115 HELLOASSO-18618964 824943 
LEWSCTU890115                      </t>
  </si>
  <si>
    <t xml:space="preserve">PRELEVEMENT             
COM DE TRANSFERT E2202014450 </t>
  </si>
  <si>
    <t xml:space="preserve">VI EMIS A L'ETRANGER    
E2202014450 ASSOCIATION IDAAFE </t>
  </si>
  <si>
    <t xml:space="preserve">REMISE DE CHEQUE        
2941637 </t>
  </si>
  <si>
    <t xml:space="preserve">REMISE DE CHEQUE        
2941636 </t>
  </si>
  <si>
    <t xml:space="preserve">REMISE DE CHEQUE        
2941634 </t>
  </si>
  <si>
    <t xml:space="preserve">REMISE DE CHEQUE        
2941633 </t>
  </si>
  <si>
    <t xml:space="preserve">VERSEMENT D'ESPECES     
BOURG SUR GIRO 3108254 093942 </t>
  </si>
  <si>
    <t xml:space="preserve">REMISE DE CHEQUE        
2941635 </t>
  </si>
  <si>
    <t xml:space="preserve">REMISE DE CHEQUE        
2941639 </t>
  </si>
  <si>
    <t xml:space="preserve">REMISE DE CHEQUE        
2941642 </t>
  </si>
  <si>
    <t xml:space="preserve">REMISE DE CHEQUE        
2941653 </t>
  </si>
  <si>
    <t xml:space="preserve">REMISE DE CHEQUE        
2941649 </t>
  </si>
  <si>
    <t xml:space="preserve">REMISE DE CHEQUE        
2941650 </t>
  </si>
  <si>
    <t xml:space="preserve">REMISE DE CHEQUE        
2941651 </t>
  </si>
  <si>
    <t xml:space="preserve">REMISE DE CHEQUE        
2941648 </t>
  </si>
  <si>
    <t xml:space="preserve">REMISE DE CHEQUE        
2941644 </t>
  </si>
  <si>
    <t xml:space="preserve">REMISE DE CHEQUE        
2941645 </t>
  </si>
  <si>
    <t xml:space="preserve">REMISE DE CHEQUE        
2941652 </t>
  </si>
  <si>
    <t xml:space="preserve">REMISE DE CHEQUE        
2941640 </t>
  </si>
  <si>
    <t>Fraternité</t>
  </si>
  <si>
    <t xml:space="preserve">VI EMIS A L'ETRANGER    
E2202016402 ASSOCIATION IDAAFE </t>
  </si>
  <si>
    <t xml:space="preserve">PRELEVEMENT             
COM DE TRANSFERT E2202016402 </t>
  </si>
  <si>
    <t xml:space="preserve">VIREMENT EN VOTRE FAVEUR
GUILDE EUROPEENNE DU RAID VH2223 DEB3/3 PROJET 2020 02 0043 
VH22231WRY0RV701                   </t>
  </si>
  <si>
    <t xml:space="preserve">VIREMENT EN VOTRE FAVEUR
GUILDE EUROPEENNE DU RAID VH2223 DEB3/3 PROJET 2020 02 0043 
VH22231TX8AVYU01                   </t>
  </si>
  <si>
    <t>DT10</t>
  </si>
  <si>
    <t>RENCONTRE IDAAFE</t>
  </si>
  <si>
    <t>Total bilan</t>
  </si>
  <si>
    <t>detail BILAN :</t>
  </si>
  <si>
    <t>charges exceptionnelles</t>
  </si>
  <si>
    <t>Remise de chèque à valider</t>
  </si>
  <si>
    <t xml:space="preserve">ASSOC.   2A2D                                                   </t>
  </si>
  <si>
    <t>Compte courant n° 23065414139</t>
  </si>
  <si>
    <t>Dépot de dossier sanitaire bis-Guilde/10979</t>
  </si>
  <si>
    <t>Comunication mai 4055720</t>
  </si>
  <si>
    <t>Solde avec la Fraternité FDT chèque 4055719</t>
  </si>
  <si>
    <t>Com Août Mission 4055721</t>
  </si>
  <si>
    <t>Régularisation compte</t>
  </si>
  <si>
    <t>VIR  REGION NVLLE AQUITAIN 2021/SOLDE</t>
  </si>
  <si>
    <t>RAPPEL 2021</t>
  </si>
  <si>
    <t>SOUSCRIPTION  PS. CARBON BLANC CEN (épargne)</t>
  </si>
  <si>
    <t>TE</t>
  </si>
  <si>
    <t>budget 2</t>
  </si>
  <si>
    <t>Autofinancement du porteur de projet</t>
  </si>
  <si>
    <t xml:space="preserve">Nétoyage de 2 sanitaires existants pour la rénovation </t>
  </si>
  <si>
    <t>Frais de transports</t>
  </si>
  <si>
    <t xml:space="preserve">Agence de Micro Projets </t>
  </si>
  <si>
    <t>Contributions valorisées (identiques aux dépenses)</t>
  </si>
  <si>
    <t xml:space="preserve"> </t>
  </si>
  <si>
    <t>Entretien réparation</t>
  </si>
  <si>
    <t>Rémunérations</t>
  </si>
  <si>
    <t>Autres charges de personeel</t>
  </si>
  <si>
    <t>REGION NOUVELLE-AQUITAINE</t>
  </si>
  <si>
    <t>Frais de Formation des enseignants</t>
  </si>
  <si>
    <t>Frais de Formations CSC</t>
  </si>
  <si>
    <t>Organisation théâtre forum</t>
  </si>
  <si>
    <t>Frais de Sensibilisation parents d'élèves</t>
  </si>
  <si>
    <t xml:space="preserve">ateliers pédagogiquespar un Graff </t>
  </si>
  <si>
    <t xml:space="preserve">ancement des travaux en présence des autorités locales </t>
  </si>
  <si>
    <t xml:space="preserve">Rénovation de 2 sanitaires </t>
  </si>
  <si>
    <t>Frais de communication</t>
  </si>
  <si>
    <t>Construction de 6 blocs</t>
  </si>
  <si>
    <t xml:space="preserve">20 dispositifs de lavage de main </t>
  </si>
  <si>
    <t>Adminitratif</t>
  </si>
  <si>
    <t>personnel</t>
  </si>
  <si>
    <t>emploi de Volontaires (Prise en charge VSI)</t>
  </si>
  <si>
    <t xml:space="preserve">bénévolat </t>
  </si>
  <si>
    <t>Adour Eau de Garonne</t>
  </si>
  <si>
    <t>Compte courant</t>
  </si>
  <si>
    <t>BUDGET</t>
  </si>
  <si>
    <t xml:space="preserve">REMISE DE CHEQUE        
1409027 </t>
  </si>
  <si>
    <t>Don Monique Maillebiau.chèq 55088556</t>
  </si>
  <si>
    <t>Adhésion Isabelle Mesplé chèq 2117655020</t>
  </si>
  <si>
    <t>Don Monique Maillebiau.chèq 2251417</t>
  </si>
  <si>
    <t>14.11.22NOUVELLE-AQUITAINE</t>
  </si>
  <si>
    <t>VIREMENT EN VOTRE FAVEUR
LEMONWAY SAS 632797 HELLOASSO-</t>
  </si>
  <si>
    <t>Virement département collège Dassoute</t>
  </si>
  <si>
    <t>Virement IDAAFE, engrais-Cantine</t>
  </si>
  <si>
    <t xml:space="preserve">REMISE DE CHEQUE        4737690 </t>
  </si>
  <si>
    <t>CHEQUE EMIS             4055744</t>
  </si>
  <si>
    <t>CHEQUE EMIS             4055742</t>
  </si>
  <si>
    <t xml:space="preserve">REMISE DE CHEQUE        2941638 </t>
  </si>
  <si>
    <t>VIREMENT EN VOTRE FAVEUR
LEMONWAY LEWSCTU890115 HELLOASSO</t>
  </si>
  <si>
    <t>bénévolat gHM ICTDP</t>
  </si>
  <si>
    <t>bénévolat GHM ICTDP</t>
  </si>
  <si>
    <t>solde GHM</t>
  </si>
  <si>
    <t>budget 3</t>
  </si>
  <si>
    <t>FONDS PROPRES 2023</t>
  </si>
  <si>
    <t>ADHESIONS</t>
  </si>
  <si>
    <t>RESULTAT 2022</t>
  </si>
  <si>
    <t>subvention Agence Adour Garonne</t>
  </si>
  <si>
    <t>Subventions Région Nouvelle Aquitaine</t>
  </si>
  <si>
    <t>Subvention Agence Micro Projet</t>
  </si>
  <si>
    <t>Subvention Agence Adour Garonne</t>
  </si>
  <si>
    <t>Parts sociales</t>
  </si>
  <si>
    <t xml:space="preserve">REMISE DE CHEQUE        
3625675 </t>
  </si>
  <si>
    <t>Dassoute Teuillac</t>
  </si>
  <si>
    <t>FONDS PROPRES N-1</t>
  </si>
  <si>
    <t>2A2D en quelques chiffres</t>
  </si>
  <si>
    <t>PROJETS</t>
  </si>
  <si>
    <t>Solde</t>
  </si>
  <si>
    <t>INTERETS CREDITEURS     
PARTS SOC</t>
  </si>
  <si>
    <t xml:space="preserve">G2302006842 </t>
  </si>
  <si>
    <t xml:space="preserve">PRELEVEMENT COM DE TRANSFERT </t>
  </si>
  <si>
    <t>G2302006842</t>
  </si>
  <si>
    <t xml:space="preserve">VH306838SD1TGN01        </t>
  </si>
  <si>
    <t xml:space="preserve">VIR GUILDE EUROPEENNE DU RAID VH3068 DEB 2/3 PROJET 2022 04 0018 </t>
  </si>
  <si>
    <t xml:space="preserve">1D0310000 -AEAG-BQ23004050-1       </t>
  </si>
  <si>
    <t xml:space="preserve">VIR LEMONWAY MEMBOGO-507792 YAPLA </t>
  </si>
  <si>
    <t xml:space="preserve">VIR LEMONWAY MEMBOGO-534776 YAPLA </t>
  </si>
  <si>
    <t>Téléchargement du 11/09/2023</t>
  </si>
  <si>
    <t>Solde au 11/09/2023</t>
  </si>
  <si>
    <t xml:space="preserve">CHEQUE EMIS DISQUE DUR    </t>
  </si>
  <si>
    <t xml:space="preserve">CHEQUE EMIS Com juin juillet-Août             </t>
  </si>
  <si>
    <t xml:space="preserve">CHEQUE EMIS  Com-Inter  déc-mars         </t>
  </si>
  <si>
    <t>VI EMIS ICTDP 1ERE TRANCHE</t>
  </si>
  <si>
    <t xml:space="preserve">CHEQUE EMIS    Adhésion SOCOOP 2023       </t>
  </si>
  <si>
    <t>CHEQUE EMIS MAIF</t>
  </si>
  <si>
    <t xml:space="preserve">CHEQUE EMIS  com avril   </t>
  </si>
  <si>
    <t>CHEQUE EMIS Achat Encre et rame</t>
  </si>
  <si>
    <t xml:space="preserve">CHEQUE EMIS Com Mai     </t>
  </si>
  <si>
    <t xml:space="preserve">CHEQUE EMIS  Timbre chèq   </t>
  </si>
  <si>
    <t xml:space="preserve">CHEQUE EMIS  Com juin </t>
  </si>
  <si>
    <t xml:space="preserve">REMISE DE CHEQUE Don MAILLEBIAU Monique     </t>
  </si>
  <si>
    <t xml:space="preserve">VIR JPLAFON YAPLA </t>
  </si>
  <si>
    <t>Adhésion Bodjok Namka et BOUTOU Eloi,</t>
  </si>
  <si>
    <t>MESPLE Isabelle</t>
  </si>
  <si>
    <t>Adhésion SAVIGNOL</t>
  </si>
  <si>
    <t>DON CYGNE DE VIE, 37866220</t>
  </si>
  <si>
    <t>Adhésion BOUYER</t>
  </si>
  <si>
    <t xml:space="preserve">VIR DRFIP OCCITANIE ET HTE GARONNE toilettes </t>
  </si>
  <si>
    <t>REMISE DE CHEQUE  maillebiau</t>
  </si>
  <si>
    <t>Cotisation béatrice FRINGUET yapla</t>
  </si>
  <si>
    <t>Cotisation PONS yapla</t>
  </si>
  <si>
    <t>Adhésion Evelyne LAFON/ Yapla</t>
  </si>
  <si>
    <t>Adhésion brigite BOHUON yapla</t>
  </si>
  <si>
    <t>Jean Jacques COMBAREL</t>
  </si>
  <si>
    <t>Téléphone</t>
  </si>
  <si>
    <t xml:space="preserve">Adhésion </t>
  </si>
  <si>
    <t>FONDS PROPRES N</t>
  </si>
  <si>
    <t>BANQUE FIN EXERCICE</t>
  </si>
  <si>
    <t>COMPTES DE FONCTIONNEMENT 2A2D</t>
  </si>
  <si>
    <t>(budgets et réels)</t>
  </si>
  <si>
    <t>Adhésion FLAFON</t>
  </si>
  <si>
    <t>COTIS FLAFON</t>
  </si>
  <si>
    <t xml:space="preserve">PRELEVEMENT             
Comm de transfert </t>
  </si>
  <si>
    <t xml:space="preserve">VI EMIS A L'ETRANGER    
G2302026057 INITIATIVE CITOYENNE </t>
  </si>
  <si>
    <t xml:space="preserve">CHEQUE EMIS             
3327435/0000000/000000000 </t>
  </si>
  <si>
    <t xml:space="preserve">REMISE DE CHEQUE        
3625686 </t>
  </si>
  <si>
    <t xml:space="preserve">PRELEVEMENT             
Frais divers international </t>
  </si>
  <si>
    <t xml:space="preserve">VIREMENT EN VOTRE FAVEUR
Stripe Technology Europe Ltd HelloAsso Q4V0E8 </t>
  </si>
  <si>
    <t xml:space="preserve">VI EMIS A L'ETRANGER    
G2302023547 INITIATIVE CITOYENNE </t>
  </si>
  <si>
    <t xml:space="preserve">VIREMENT EN VOTRE FAVEUR
LEMONWAY 1972249 MEMBOGO-635369 YAPLA 
1972249                            </t>
  </si>
  <si>
    <t xml:space="preserve">VIREMENT DE ME AUDOIN VERONIQUE </t>
  </si>
  <si>
    <t xml:space="preserve">irement de Dominique SOURON - Mission TOGO </t>
  </si>
  <si>
    <t>Solde au 21/12/2023</t>
  </si>
  <si>
    <t xml:space="preserve">Virement de M ERIC SAMITIER </t>
  </si>
  <si>
    <t>RESTAURATION</t>
  </si>
  <si>
    <t>HEBERGEMENT</t>
  </si>
  <si>
    <t xml:space="preserve">VIREMENT EN VOTRE FAVEUR
LEMONWAY 2215048 MEMBOGO-694380 YAPLA AURORE
2215048                            </t>
  </si>
  <si>
    <t xml:space="preserve">VIREMENT EN VOTRE FAVEUR
LEMONWAY 2061233 MEMBOGO-651234 YAPLA  CHRISTELLE
2061233                            </t>
  </si>
  <si>
    <t>CHEQUE EMIS             
3327436  PIZZA volontaires</t>
  </si>
  <si>
    <t>CHEQUE EMIS             
3327438 gardiennage</t>
  </si>
  <si>
    <t>transp</t>
  </si>
  <si>
    <t>AFF COMM ECOSAN</t>
  </si>
  <si>
    <t>Budget Projet "Accès aux toilettes, un enjeu fort pour la scolarisation de la jeune fille dans le grand Lomé et environs"</t>
  </si>
  <si>
    <t>Budget pévisionnel</t>
  </si>
  <si>
    <t>Tranche1</t>
  </si>
  <si>
    <t>Tranche2</t>
  </si>
  <si>
    <t>Début 23</t>
  </si>
  <si>
    <t>Fin 24</t>
  </si>
  <si>
    <t>Montant        en €</t>
  </si>
  <si>
    <t>Aquis /             Sollicité</t>
  </si>
  <si>
    <t>Montant            en €</t>
  </si>
  <si>
    <t>Formation/           enseignants</t>
  </si>
  <si>
    <t>Aquis</t>
  </si>
  <si>
    <t>5500 à Trouver</t>
  </si>
  <si>
    <t>Nombre de sensibilisation/   parents</t>
  </si>
  <si>
    <t>Frais de formation de 40 membres des Comités de Santé Scolaires (CSC) en 2 sessions</t>
  </si>
  <si>
    <t>Formation CSC</t>
  </si>
  <si>
    <t>Organisation et mise en place de 4 théatres forum par un intervenant extérieur</t>
  </si>
  <si>
    <t>Organisation/ nombre théatres</t>
  </si>
  <si>
    <t>Mise en place de 6 ateliers pédagogiques dans les établissements par un Graff</t>
  </si>
  <si>
    <t>Nbre ateliers/      Ecoles</t>
  </si>
  <si>
    <t>2-Bailleurs de fonds Privés</t>
  </si>
  <si>
    <t>Travaux de recrutement et de lancement du projet en présence des autorités locales</t>
  </si>
  <si>
    <t>Réunion recrutement</t>
  </si>
  <si>
    <t>Agence de Micro Projets</t>
  </si>
  <si>
    <t>Frais de communication et / ou frais liés aux actions d'ECSI en Nouvelle Aquitaine (location de salle, convivialité, flyres, impressions de photos)</t>
  </si>
  <si>
    <t>FF</t>
  </si>
  <si>
    <t>Construction de 54 cabines dans 2 établissements scolaires adaptés aux effectifs + 16 massifs de fleurs de 2m2 pour éviter l'eau de stagnation lors des lavages de mains</t>
  </si>
  <si>
    <t>Construction/     Nbre de sanitaires</t>
  </si>
  <si>
    <t>Mise en place de 16 dispositifs de lavage de mains</t>
  </si>
  <si>
    <t>Dispositifs/      Ecoles</t>
  </si>
  <si>
    <t>3-Bailleurs de Fond Publics</t>
  </si>
  <si>
    <t>Frais de fonctionnement (frais postaux, bancaires, assurances, téléphone, internet, matériel de bureautique)</t>
  </si>
  <si>
    <t>Fonstionnement/Mois projet</t>
  </si>
  <si>
    <t>Région Nouvelle Aquitaine</t>
  </si>
  <si>
    <t>Charges du personnel local d'ICTDP (Rénumération et charges)</t>
  </si>
  <si>
    <t>Salaire/Mois de projet</t>
  </si>
  <si>
    <t>Frais du contrôleur (Suivi technique, maitrise d'œuvre en appui à ICTDP</t>
  </si>
  <si>
    <t>Suivi/mois projet</t>
  </si>
  <si>
    <t>Total des dépenses hors valorisation</t>
  </si>
  <si>
    <t>Vaorisation</t>
  </si>
  <si>
    <t>Valorisation</t>
  </si>
  <si>
    <t>Montant</t>
  </si>
  <si>
    <t xml:space="preserve"> %</t>
  </si>
  <si>
    <t xml:space="preserve">% </t>
  </si>
  <si>
    <t>Apport des partenaires locaux</t>
  </si>
  <si>
    <t>Apport Partenaire ICTDP</t>
  </si>
  <si>
    <t>Bénév/  Mois projet</t>
  </si>
  <si>
    <t>Bénévolat/ Mois du projet</t>
  </si>
  <si>
    <t>1er verse. à ICTDP</t>
  </si>
  <si>
    <t>Apport Partenaire Français</t>
  </si>
  <si>
    <t>Date:</t>
  </si>
  <si>
    <t>Apport 2A2D</t>
  </si>
  <si>
    <t>Bénév/Mois projet</t>
  </si>
  <si>
    <t>2ième verse. à ICTDP</t>
  </si>
  <si>
    <t xml:space="preserve">Total des dépenses avec valorisations </t>
  </si>
  <si>
    <t xml:space="preserve">Total des dépens, avec valorisations </t>
  </si>
  <si>
    <t>100/%</t>
  </si>
  <si>
    <t>Signature</t>
  </si>
  <si>
    <t xml:space="preserve">Jean Philippe LAFON  </t>
  </si>
  <si>
    <t xml:space="preserve">                               Signature</t>
  </si>
  <si>
    <t xml:space="preserve">                                                                                                              </t>
  </si>
  <si>
    <t xml:space="preserve">ICTDP </t>
  </si>
  <si>
    <t xml:space="preserve">       </t>
  </si>
  <si>
    <t>Frais de conception de projet de 1200 à sortir en cas de reste sur la gestion des 9200</t>
  </si>
  <si>
    <t>Président</t>
  </si>
  <si>
    <t>Il noter qu'il y'a une légère différence sur les 3 budgets</t>
  </si>
  <si>
    <t>Charges liées àl'emploi de Volontaires (Prise en charge CSI) (961,5+div)</t>
  </si>
  <si>
    <t>Frais de transport, Evaluation externe, frais liés aux déplacements (billets d'avion, hébergement, restauration, visas …) (320,5+1600+1600)</t>
  </si>
  <si>
    <t>Construction de 54 cabines</t>
  </si>
  <si>
    <t>Frais de formation de 20 enseignants à l'hygiène et assainissement</t>
  </si>
  <si>
    <t>Frais de sensibilisation des parents d'élèves à l'hygiène et assainissement en 2 sessions</t>
  </si>
  <si>
    <t xml:space="preserve">solse ouv  PARTS SOCIALES 2022      
</t>
  </si>
  <si>
    <t>budget 4</t>
  </si>
  <si>
    <t>SOLDE 2024</t>
  </si>
  <si>
    <t>B1 2024</t>
  </si>
  <si>
    <t xml:space="preserve">                           </t>
  </si>
  <si>
    <t xml:space="preserve">VIREMENT YAPLA  CHRISTELLE
      </t>
  </si>
  <si>
    <t xml:space="preserve">REMISE DE CHEQUE 3625686 </t>
  </si>
  <si>
    <t>CHEQUE EMIS 3327435</t>
  </si>
  <si>
    <t xml:space="preserve">VIREMENT  YAPLA AURORE            </t>
  </si>
  <si>
    <t xml:space="preserve">INTERETS CREDITEURS </t>
  </si>
  <si>
    <t>PROGRAMME EAU POTABLE DEPUIS LA SOURCE</t>
  </si>
  <si>
    <t>« Accès à l'eau potable et à l’assainissement » dans les villages de Dassoute Bagou et Djangou et leur école »</t>
  </si>
  <si>
    <t>Étude et Prospection hydrogéologique et  géographique 2 forages</t>
  </si>
  <si>
    <t>Fonds propres ou assimilés</t>
  </si>
  <si>
    <t>Frais de rédaction de projet et suivi comptable</t>
  </si>
  <si>
    <t>indemnité de suivi et gestion du projet dans le pays local concerné</t>
  </si>
  <si>
    <t>Déplacements (billet d'avion, location de voiture dans le pays)</t>
  </si>
  <si>
    <t>Hébergement</t>
  </si>
  <si>
    <t>Restauration</t>
  </si>
  <si>
    <t>Déplacement et essais pompages</t>
  </si>
  <si>
    <t>Analyse physico-chimique de l’eau</t>
  </si>
  <si>
    <t>Suivi contrôle par un technicien hydrogéologue</t>
  </si>
  <si>
    <t>Main d'œuvre pour l'ensemble</t>
  </si>
  <si>
    <t>Sensibilisation des parents d'élèves sur l'importance de l'education de la jeune fille / l'eau et assainissement</t>
  </si>
  <si>
    <t>Sensibilisation sur l'hygiène et  assainissement de la population  (méthode PHAST)</t>
  </si>
  <si>
    <t>Formation des agriculteurs sur la méthode de vidange et achat de matériel de vidange pour 10 agriculteurs</t>
  </si>
  <si>
    <t>Suivi des maladies liées à l'eau et assainissement dans les dispensaires les plus proches</t>
  </si>
  <si>
    <t>Frais de reboisement des 2 sites</t>
  </si>
  <si>
    <t xml:space="preserve">Communication </t>
  </si>
  <si>
    <t>Bordeaux metropole</t>
  </si>
  <si>
    <t>Capitalisation</t>
  </si>
  <si>
    <t>Agence de l'Eau Adour Garonne</t>
  </si>
  <si>
    <t>Evaluation externe du projet sur le terrain</t>
  </si>
  <si>
    <t>Aglo de Brive / Valorem</t>
  </si>
  <si>
    <t>Consommables bureautique</t>
  </si>
  <si>
    <t>Ceremonie de réception des 2 forages</t>
  </si>
  <si>
    <t>Fabrication des plaques d'identification des forages (logos partenaires)</t>
  </si>
  <si>
    <t>Bénévolat des membres des associations</t>
  </si>
  <si>
    <t>compte</t>
  </si>
  <si>
    <t>EP</t>
  </si>
  <si>
    <t>EAU POTABLE</t>
  </si>
  <si>
    <t>Subvention Bx Métropole</t>
  </si>
  <si>
    <t>Subv Aglo de Brive / Valorem</t>
  </si>
  <si>
    <t>Préparation, amenée, installation générale et foration</t>
  </si>
  <si>
    <t>Fournitures et panneaux solaires</t>
  </si>
  <si>
    <t>Plomberie, construction de bornes fontaines de 2*6 robinets</t>
  </si>
  <si>
    <t>Construction de 23 toilettes écologiques  Ecosan</t>
  </si>
  <si>
    <t>Formation des outils de travail et de gestion COGES-EA</t>
  </si>
  <si>
    <t>ressources valorisées</t>
  </si>
  <si>
    <t>BUDGET 2024 PAR PROJET</t>
  </si>
  <si>
    <t>affectation fonds propres EP</t>
  </si>
  <si>
    <t>affectation fonds propres TE</t>
  </si>
  <si>
    <t>EPARGNE  PS. CARBON BLANC CEN</t>
  </si>
  <si>
    <t>CONVENTION ICTDP</t>
  </si>
  <si>
    <t>DON JPL</t>
  </si>
  <si>
    <t>factures</t>
  </si>
  <si>
    <t>DATE</t>
  </si>
  <si>
    <t>FOURN</t>
  </si>
  <si>
    <t>DEST</t>
  </si>
  <si>
    <t>RAM</t>
  </si>
  <si>
    <t>JP</t>
  </si>
  <si>
    <t>?</t>
  </si>
  <si>
    <t>"convivialité"</t>
  </si>
  <si>
    <t>MONT CFA</t>
  </si>
  <si>
    <t>MONTANT €</t>
  </si>
  <si>
    <r>
      <t>Il faut aujourd'hui </t>
    </r>
    <r>
      <rPr>
        <sz val="10"/>
        <color rgb="FF040C28"/>
        <rFont val="Arial"/>
        <family val="2"/>
      </rPr>
      <t>0.001524 Euro pour convertir 1 Franc CFA</t>
    </r>
    <r>
      <rPr>
        <sz val="10"/>
        <color rgb="FF202124"/>
        <rFont val="Arial"/>
        <family val="2"/>
      </rPr>
      <t>.</t>
    </r>
  </si>
  <si>
    <t>les arts bleus</t>
  </si>
  <si>
    <t>Atelier graphisme</t>
  </si>
  <si>
    <t>30% (2e)</t>
  </si>
  <si>
    <t>G. BAAL HORIZON</t>
  </si>
  <si>
    <t>16 lave mains</t>
  </si>
  <si>
    <t>CAERS</t>
  </si>
  <si>
    <t>formation élèves</t>
  </si>
  <si>
    <t>formation enseign</t>
  </si>
  <si>
    <t>RJCE</t>
  </si>
  <si>
    <t>mise en place ateliers</t>
  </si>
  <si>
    <t>AWANIAS (ICTDP?)</t>
  </si>
  <si>
    <t>40% (1e)</t>
  </si>
  <si>
    <t>formation parents</t>
  </si>
  <si>
    <t>01/2024?</t>
  </si>
  <si>
    <t>IBATECH</t>
  </si>
  <si>
    <t>Contrôle</t>
  </si>
  <si>
    <t>PLAPA SARLU</t>
  </si>
  <si>
    <t>Transport JP</t>
  </si>
  <si>
    <t>relevé de dépenses</t>
  </si>
  <si>
    <t>bénévolat</t>
  </si>
  <si>
    <t>erreur addition</t>
  </si>
  <si>
    <t>erreur report facture</t>
  </si>
  <si>
    <t>COM+</t>
  </si>
  <si>
    <t>Téléchargement du 22/02/2024</t>
  </si>
  <si>
    <t>Solde au 22/02/2024</t>
  </si>
  <si>
    <t xml:space="preserve">VIREMENT EN VOTRE FAVEUR
LEMONWAY SAS 2580886 MEMBOGO-828574 YAPLA 
2580886                            </t>
  </si>
  <si>
    <t xml:space="preserve">VIREMENT EN VOTRE FAVEUR
LEMONWAY 2505797 MEMBOGO-790525 YAPLA 
2505797                            </t>
  </si>
  <si>
    <t xml:space="preserve">VI EMIS A L'ETRANGER    
H2402002219 INITIATIVE CITOYENNE </t>
  </si>
  <si>
    <t xml:space="preserve">CHEQUE EMIS             
3327440 </t>
  </si>
  <si>
    <t xml:space="preserve">VIREMENT EN VOTRE FAVEUR
MR OU MME JEAN-PHILIPPE LAFON po pour ICTDP 
pour ICTDP                         </t>
  </si>
  <si>
    <t xml:space="preserve">REGUL OPE DEBITRICES    
Geste Commercial </t>
  </si>
  <si>
    <t xml:space="preserve">CHEQUE EMIS             
3327439/0000000/000000000 </t>
  </si>
  <si>
    <t>MAIF à ne pas prendre</t>
  </si>
  <si>
    <t>adhésion guilde</t>
  </si>
  <si>
    <t>compta 2023</t>
  </si>
  <si>
    <t>comm 2024</t>
  </si>
  <si>
    <t xml:space="preserve"> +</t>
  </si>
  <si>
    <t>comm</t>
  </si>
  <si>
    <t>(Prise en charge des CSI)</t>
  </si>
  <si>
    <t>allianz travel</t>
  </si>
  <si>
    <t>gardienniage</t>
  </si>
  <si>
    <t>doublon orange</t>
  </si>
  <si>
    <t>erreur ORANGE</t>
  </si>
  <si>
    <t>LECLERC???</t>
  </si>
  <si>
    <t>ORANGE</t>
  </si>
  <si>
    <t>orange</t>
  </si>
  <si>
    <t>à verser à ICTDP</t>
  </si>
  <si>
    <t>ORANGE A REGLER</t>
  </si>
  <si>
    <t>compl  ICTDP selon factures</t>
  </si>
  <si>
    <t>réglé</t>
  </si>
  <si>
    <t>versé</t>
  </si>
  <si>
    <t>RAPPORT FINANCIER A MI PARCOURS</t>
  </si>
  <si>
    <t>Téléchargement du 21/04/2024</t>
  </si>
  <si>
    <t>Solde au 21/04/2024</t>
  </si>
  <si>
    <t xml:space="preserve"> 953,02 €</t>
  </si>
  <si>
    <t xml:space="preserve">CHEQUE EMIS             
3327442 </t>
  </si>
  <si>
    <t xml:space="preserve">CHEQUE EMIS             
3327443 </t>
  </si>
  <si>
    <t xml:space="preserve">VI EMIS A L'ETRANGER    
H2402008174 ICTDP </t>
  </si>
  <si>
    <t xml:space="preserve">LAFON co conv ICTDP 2e tri </t>
  </si>
  <si>
    <t>PAIERIE REGIONALE NVLLE AQUITAIN AC</t>
  </si>
  <si>
    <t xml:space="preserve">REMISE DE CHEQUE        3625689 </t>
  </si>
  <si>
    <t>BUDGET ECOSAN</t>
  </si>
  <si>
    <t>FRAS BANQUE</t>
  </si>
  <si>
    <t>Autofinancement Ecosan</t>
  </si>
  <si>
    <t>BILAN 2024 PAR PROJET</t>
  </si>
  <si>
    <t>(Plusieurs éléments)</t>
  </si>
  <si>
    <t>FONDS PROPRES 2024</t>
  </si>
  <si>
    <t>VIREMENT 2655259 YAPLA     30 CP+20 Aurore</t>
  </si>
  <si>
    <t>CHEQUE EMIS             
3327441 SOCOP ADHESION</t>
  </si>
  <si>
    <t>REMISE DE CHEQUE        
0463417 SALVIGNOL</t>
  </si>
  <si>
    <t>REALISE</t>
  </si>
  <si>
    <t>REALISER</t>
  </si>
  <si>
    <t>RESTE A</t>
  </si>
  <si>
    <t>FD JP</t>
  </si>
  <si>
    <t>DEPLACEMENT JP</t>
  </si>
  <si>
    <t>N°147 2420436304</t>
  </si>
  <si>
    <t>Royal Air Maroc</t>
  </si>
  <si>
    <t>N°RAMFR4000007069</t>
  </si>
  <si>
    <t xml:space="preserve"> ICTDP</t>
  </si>
  <si>
    <t xml:space="preserve"> N°13-12-2023-RESTAU</t>
  </si>
  <si>
    <t>Plapa SARLU</t>
  </si>
  <si>
    <t>TRANSPORT</t>
  </si>
  <si>
    <t>Solde au 14/05/2024</t>
  </si>
  <si>
    <t xml:space="preserve">VIREMENT EN VOTRE FAVEUR
LEMONWAY 2971636 YAPLAFR-950595 YAPLA 
2971636                            </t>
  </si>
  <si>
    <t xml:space="preserve">REMISE DE CHEQUE        
3625691 </t>
  </si>
  <si>
    <t xml:space="preserve">REMISE DE CHEQUE        
3625690 </t>
  </si>
  <si>
    <t>Trésorerie à fin N</t>
  </si>
  <si>
    <t xml:space="preserve">Produits exceptionnels (dons) </t>
  </si>
  <si>
    <t>B2 2024</t>
  </si>
  <si>
    <t>PART DEPLACEMENT SABINE France</t>
  </si>
  <si>
    <t>BUDGET INITIAL 2024 PAR PROJET</t>
  </si>
  <si>
    <t>Valorisation aide locale</t>
  </si>
  <si>
    <t>BUDGET REVISE 2024 PAR PROJET</t>
  </si>
  <si>
    <t>Subventions Fraternité</t>
  </si>
  <si>
    <t>EAU POTABLE à 25%</t>
  </si>
  <si>
    <t>DON FRATERNITE pour fonds propres</t>
  </si>
  <si>
    <t>AUTRE PARTENARIAT</t>
  </si>
  <si>
    <t>don Fraternité</t>
  </si>
  <si>
    <t>don invitation</t>
  </si>
  <si>
    <t>MISSIONS</t>
  </si>
  <si>
    <t>invitation</t>
  </si>
  <si>
    <t>Subvention Fraternité</t>
  </si>
  <si>
    <t>pas de bénévolat</t>
  </si>
  <si>
    <t>local remplace nénév</t>
  </si>
  <si>
    <t>B 2024</t>
  </si>
  <si>
    <t>réel 2023</t>
  </si>
  <si>
    <t>BUDGET INITIAL 2024</t>
  </si>
  <si>
    <t>aDM</t>
  </si>
  <si>
    <t xml:space="preserve">VI EMIS A L'ETRANGER    rbsé
G2302026057 INITIATIVE CITOYENNE </t>
  </si>
  <si>
    <t>Fournisseurs</t>
  </si>
  <si>
    <t>JPL</t>
  </si>
  <si>
    <t>MF</t>
  </si>
  <si>
    <t>NAM</t>
  </si>
  <si>
    <t>Solde au 13/06/2024</t>
  </si>
  <si>
    <t>Liste des opérations du compte entre le 01/06/2023 et le 12/06/2024</t>
  </si>
  <si>
    <t xml:space="preserve">INTERETS  PARTS SOC.CARBON BL. </t>
  </si>
  <si>
    <t>LEMONWAY SAS 3042906 YAPLAFR-</t>
  </si>
  <si>
    <t>LEMONWAY SAS 3132715 YAPLAFR</t>
  </si>
  <si>
    <t>FOURNISSEUR ICTDP</t>
  </si>
  <si>
    <t>COMPTES COURANTS JPL</t>
  </si>
  <si>
    <t>COMPTES COURANTS N</t>
  </si>
  <si>
    <t>COMPTES COURANTS MF</t>
  </si>
  <si>
    <t>SOLDE ICTDP</t>
  </si>
  <si>
    <t>COMMUNICATION</t>
  </si>
  <si>
    <t>DEPLACEMENTS</t>
  </si>
  <si>
    <t>FRAIS ENVOI</t>
  </si>
  <si>
    <t xml:space="preserve">BANQUE </t>
  </si>
  <si>
    <t>REMISE DE CHEQUE 3082619 Muriel</t>
  </si>
  <si>
    <t>REMISE DE CHEQUE 3082754 evelyne</t>
  </si>
  <si>
    <t>Solde au 05/09/2024</t>
  </si>
  <si>
    <t xml:space="preserve">VIREMENT EN VOTRE FAVEUR
LEMONWAY 3467183 YAPLAFR-1100234 YAPLA 
3467183                            </t>
  </si>
  <si>
    <t xml:space="preserve">VI EMIS A L'ETRANGER    
H2402013964 INITIATIVE CITOYENNE </t>
  </si>
  <si>
    <t xml:space="preserve">REMISE DE CHEQUE        
3625692 </t>
  </si>
  <si>
    <t xml:space="preserve">VIREMENT EN VOTRE FAVEUR
MR OU MME JEAN-PHILIPPE LAFON do don 
don                                </t>
  </si>
  <si>
    <t xml:space="preserve">VIREMENT MR FERILLOT MICHEL  </t>
  </si>
  <si>
    <t>VIREMENT JEAN PHILIPPE LAFON</t>
  </si>
  <si>
    <t>A recevoir</t>
  </si>
  <si>
    <t xml:space="preserve">VIREMENT 
LEMONWAY 3299800 YAPLAFR-1045073 YAPLA 
3299800                            </t>
  </si>
  <si>
    <t>A RECEVOIR</t>
  </si>
  <si>
    <t>FONDS PROPRES FIN N</t>
  </si>
  <si>
    <t>A RECEVOIR SOLDE ECOSAN</t>
  </si>
  <si>
    <t>A REGLER</t>
  </si>
  <si>
    <t>Fournisseur ICTDP</t>
  </si>
  <si>
    <t>Compte Courant JPL</t>
  </si>
  <si>
    <t>Compte courant N</t>
  </si>
  <si>
    <t>Compte courant MF</t>
  </si>
  <si>
    <t>Compte épargne</t>
  </si>
  <si>
    <t>FONDS PROPRES au 9 septembre 2024</t>
  </si>
  <si>
    <t>FONDS PROPRES au 31 décembre 2024</t>
  </si>
  <si>
    <t>VIREMENT B FRINGUET JANV25</t>
  </si>
  <si>
    <t>VIREMENT JP LAFON vente bracelets et eventails</t>
  </si>
  <si>
    <t xml:space="preserve">PRELEVEMENT Comm de transfert </t>
  </si>
  <si>
    <t xml:space="preserve">VI EMIS A L'ETRANGER INITIATIVE CITOYENNE </t>
  </si>
  <si>
    <t xml:space="preserve">VIREMENTJP LAFON Convention ICTDP                   </t>
  </si>
  <si>
    <t xml:space="preserve">REMISE DE CHEQUE  7988131 </t>
  </si>
  <si>
    <t xml:space="preserve">VIREMENT YAPLAFR-1210839 YAPLA 3805218                            </t>
  </si>
  <si>
    <t>CHEQUE EMIS             3327448</t>
  </si>
  <si>
    <t xml:space="preserve">VIREMENT SOLDE ACTION D AUTO PROCLPJ </t>
  </si>
  <si>
    <t>VIREMENT ME AUDOIN VERONIQUE</t>
  </si>
  <si>
    <t xml:space="preserve">PRELEVEMENT             Comm de transfert </t>
  </si>
  <si>
    <t xml:space="preserve">VIREMENT YAPLAFR-1367544 4220726                            </t>
  </si>
  <si>
    <t xml:space="preserve">VIREMENT JP LAFON convention ictdp                   </t>
  </si>
  <si>
    <t xml:space="preserve">VIR INST MICHEL FERILLOT Virement de Femi </t>
  </si>
  <si>
    <t xml:space="preserve">VI EMIS INITIATIVE CITOYENNE </t>
  </si>
  <si>
    <t xml:space="preserve">VI EMIS     2402027221 ICTDP </t>
  </si>
  <si>
    <t>VIREMENTLESGOURGU DON ASSOC 2A2D</t>
  </si>
  <si>
    <t xml:space="preserve">VIREMENT YAPLA 4025508                            </t>
  </si>
  <si>
    <t>CHEQUE EMIS             3327449</t>
  </si>
  <si>
    <t>CHEQUE EMIS             3327450</t>
  </si>
  <si>
    <t>VIREMENT  GUILDE EUROPEENNE</t>
  </si>
  <si>
    <t xml:space="preserve">VIREMENTYAPLA 4301267                            </t>
  </si>
  <si>
    <t xml:space="preserve">VIREMENT ISABELLE LAFON </t>
  </si>
  <si>
    <t xml:space="preserve">VIREMENT 1412884 YAPLA 4386857                            </t>
  </si>
  <si>
    <t xml:space="preserve">VIREMENTSGC BORDEAUX METROPOLE </t>
  </si>
  <si>
    <t>Solde au 31/12/2024</t>
  </si>
  <si>
    <t>dont virement 2024 crédité 2 janvier 200€</t>
  </si>
  <si>
    <t>FONDS PROPRES AU 31/12/2024</t>
  </si>
  <si>
    <t>VI EMIS   INITIATIVE CITOYENNE</t>
  </si>
  <si>
    <t>Tréso</t>
  </si>
  <si>
    <t>FD JPL</t>
  </si>
  <si>
    <t>air France</t>
  </si>
  <si>
    <t>Frais kilométriques MF</t>
  </si>
  <si>
    <t>Avance projet EAU POTABLE - dépenses</t>
  </si>
  <si>
    <t>CH3327451 Frais poste projet forage</t>
  </si>
  <si>
    <t>CH 3327447 Rol-Up Brigitte.</t>
  </si>
  <si>
    <t>BANQUE 31/12/2024</t>
  </si>
  <si>
    <t>BILAN ECOSAN au 31/12/2024</t>
  </si>
  <si>
    <t xml:space="preserve">CHEQUE EMIS             3327444 </t>
  </si>
  <si>
    <t xml:space="preserve">CHEQUE EMIS             3327445 </t>
  </si>
  <si>
    <t xml:space="preserve">CHEQUE EMIS             3327446 </t>
  </si>
  <si>
    <t xml:space="preserve">VIREMENT 2816830 -908648 YAPLA </t>
  </si>
  <si>
    <t xml:space="preserve">VH2402007679 INITIATIVE CITOYENNE </t>
  </si>
  <si>
    <t>comm transfert</t>
  </si>
  <si>
    <t>arrondi CCT</t>
  </si>
  <si>
    <t>dépenses supplementaires</t>
  </si>
  <si>
    <t>dépenses non dépensées ?</t>
  </si>
  <si>
    <t>PRODUIT A RECEVOIR</t>
  </si>
  <si>
    <t>MONTANT RECU D'AVANCE</t>
  </si>
  <si>
    <t>DETTES A REGLER</t>
  </si>
  <si>
    <t>DEPENSES A REALISER</t>
  </si>
  <si>
    <t>MONTANT A RECEVOIR</t>
  </si>
  <si>
    <t>ajustement dépenses ECOSAN</t>
  </si>
  <si>
    <t>FONDS PROPRES ANNEE 2024</t>
  </si>
  <si>
    <t>A  RECEVOIR</t>
  </si>
  <si>
    <t>A DEPENSER</t>
  </si>
  <si>
    <t>2A2D :  2024 en quelques chiffres</t>
  </si>
  <si>
    <t>Fonds propres 2023</t>
  </si>
  <si>
    <t>Fonds propres 2024</t>
  </si>
  <si>
    <t>Fonds propres au 31/12/2024</t>
  </si>
  <si>
    <t>Banque au 31/12/2024</t>
  </si>
  <si>
    <t>PROJET FORAGES</t>
  </si>
  <si>
    <t>PF</t>
  </si>
  <si>
    <t>Epargne</t>
  </si>
  <si>
    <t>A dépenser</t>
  </si>
  <si>
    <t>Année 2024</t>
  </si>
  <si>
    <t xml:space="preserve">     fonds propres affectés</t>
  </si>
  <si>
    <t>A RECEVOIR/A DEPENSER</t>
  </si>
  <si>
    <t>B1 2025</t>
  </si>
  <si>
    <t>BUDGET INITIAL 2025 PAR PROJET</t>
  </si>
  <si>
    <t>tréso TE</t>
  </si>
  <si>
    <t>V2</t>
  </si>
  <si>
    <t>moitié</t>
  </si>
  <si>
    <t>affectation fonds propres TF</t>
  </si>
  <si>
    <t>BANQUE DEBUT EXERCICE</t>
  </si>
  <si>
    <t>FONDS PROPRES A FIN ANNEE N</t>
  </si>
  <si>
    <t>solde A RECEVOIR</t>
  </si>
  <si>
    <t>FONDS PROPRES N après affectation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</si>
</sst>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\ \k\r"/>
    <numFmt numFmtId="166" formatCode="0\ %"/>
    <numFmt numFmtId="167" formatCode="_-* #,##0.00&quot; €&quot;_-;\-* #,##0.00&quot; €&quot;_-;_-* \-??&quot; €&quot;_-;_-@_-"/>
    <numFmt numFmtId="168" formatCode="#,##0.000000"/>
  </numFmts>
  <fonts count="15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 (Textkörper)"/>
    </font>
    <font>
      <b/>
      <sz val="11"/>
      <color theme="1"/>
      <name val="Calibri (Textkörper)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9"/>
      <color theme="7" tint="-0.249977111117893"/>
      <name val="Arial"/>
      <family val="2"/>
    </font>
    <font>
      <sz val="9"/>
      <color theme="7" tint="-0.249977111117893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 (Textkörper)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9"/>
      <color theme="5" tint="-0.499984740745262"/>
      <name val="Arial"/>
      <family val="2"/>
    </font>
    <font>
      <sz val="9"/>
      <color rgb="FFC00000"/>
      <name val="Arial"/>
      <family val="2"/>
    </font>
    <font>
      <sz val="9"/>
      <color rgb="FFC0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2"/>
      <color theme="5" tint="-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5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1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sz val="10"/>
      <color theme="5" tint="-0.499984740745262"/>
      <name val="Arial"/>
      <family val="2"/>
    </font>
    <font>
      <i/>
      <strike/>
      <sz val="8"/>
      <color theme="1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i/>
      <sz val="12"/>
      <color theme="1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Times New Roman"/>
      <family val="1"/>
    </font>
    <font>
      <b/>
      <sz val="16"/>
      <color theme="1"/>
      <name val="Georgia"/>
      <family val="1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 MT"/>
    </font>
    <font>
      <sz val="10"/>
      <color rgb="FF202124"/>
      <name val="Arial"/>
      <family val="2"/>
    </font>
    <font>
      <sz val="10"/>
      <color rgb="FF040C28"/>
      <name val="Arial"/>
      <family val="2"/>
    </font>
    <font>
      <b/>
      <i/>
      <sz val="10"/>
      <color rgb="FFFF0000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5" tint="-0.499984740745262"/>
      <name val="Arial"/>
      <family val="2"/>
    </font>
    <font>
      <sz val="10"/>
      <color theme="5" tint="-0.499984740745262"/>
      <name val="Arial MT"/>
    </font>
    <font>
      <sz val="10"/>
      <color theme="5" tint="-0.249977111117893"/>
      <name val="Arial"/>
      <family val="2"/>
    </font>
    <font>
      <i/>
      <sz val="9"/>
      <color rgb="FFFF0000"/>
      <name val="Calibri"/>
      <family val="2"/>
      <scheme val="minor"/>
    </font>
    <font>
      <b/>
      <sz val="11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6"/>
      <name val="Arial"/>
    </font>
    <font>
      <b/>
      <sz val="12"/>
      <name val="Arial"/>
    </font>
    <font>
      <sz val="10"/>
      <name val="Arial"/>
    </font>
    <font>
      <sz val="8"/>
      <name val="Arial"/>
    </font>
    <font>
      <b/>
      <i/>
      <sz val="12"/>
      <color theme="5" tint="-0.499984740745262"/>
      <name val="Calibri"/>
      <family val="2"/>
      <scheme val="minor"/>
    </font>
    <font>
      <b/>
      <i/>
      <sz val="18"/>
      <color theme="5" tint="-0.499984740745262"/>
      <name val="Calibri"/>
      <family val="2"/>
      <scheme val="minor"/>
    </font>
    <font>
      <i/>
      <sz val="9"/>
      <color theme="9" tint="-0.499984740745262"/>
      <name val="Calibri"/>
      <family val="2"/>
      <scheme val="minor"/>
    </font>
    <font>
      <i/>
      <sz val="12"/>
      <color theme="9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D91B2"/>
        <bgColor indexed="64"/>
      </patternFill>
    </fill>
    <fill>
      <patternFill patternType="solid">
        <fgColor rgb="FF15C3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18">
    <xf numFmtId="0" fontId="0" fillId="0" borderId="0"/>
    <xf numFmtId="0" fontId="44" fillId="0" borderId="0"/>
    <xf numFmtId="9" fontId="44" fillId="0" borderId="0" applyFill="0" applyBorder="0" applyAlignment="0" applyProtection="0"/>
    <xf numFmtId="0" fontId="26" fillId="0" borderId="0"/>
    <xf numFmtId="166" fontId="44" fillId="0" borderId="0" applyFill="0" applyBorder="0" applyAlignment="0" applyProtection="0"/>
    <xf numFmtId="44" fontId="44" fillId="0" borderId="0" applyFill="0" applyBorder="0" applyAlignment="0" applyProtection="0"/>
    <xf numFmtId="0" fontId="75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2" fillId="0" borderId="0"/>
    <xf numFmtId="43" fontId="44" fillId="0" borderId="0" applyFill="0" applyBorder="0" applyAlignment="0" applyProtection="0"/>
    <xf numFmtId="167" fontId="44" fillId="0" borderId="0" applyFill="0" applyBorder="0" applyAlignment="0" applyProtection="0"/>
    <xf numFmtId="44" fontId="77" fillId="0" borderId="0" applyFont="0" applyFill="0" applyBorder="0" applyAlignment="0" applyProtection="0"/>
  </cellStyleXfs>
  <cellXfs count="1482">
    <xf numFmtId="0" fontId="0" fillId="0" borderId="0" xfId="0"/>
    <xf numFmtId="0" fontId="29" fillId="2" borderId="0" xfId="0" applyFont="1" applyFill="1"/>
    <xf numFmtId="0" fontId="31" fillId="2" borderId="0" xfId="0" applyFont="1" applyFill="1" applyAlignment="1">
      <alignment horizontal="left"/>
    </xf>
    <xf numFmtId="14" fontId="29" fillId="2" borderId="0" xfId="0" applyNumberFormat="1" applyFont="1" applyFill="1" applyBorder="1" applyAlignment="1"/>
    <xf numFmtId="0" fontId="29" fillId="3" borderId="0" xfId="0" applyFont="1" applyFill="1"/>
    <xf numFmtId="17" fontId="33" fillId="2" borderId="2" xfId="0" applyNumberFormat="1" applyFont="1" applyFill="1" applyBorder="1" applyProtection="1">
      <protection locked="0"/>
    </xf>
    <xf numFmtId="0" fontId="33" fillId="2" borderId="0" xfId="0" applyFont="1" applyFill="1" applyBorder="1" applyAlignment="1">
      <alignment horizontal="center"/>
    </xf>
    <xf numFmtId="0" fontId="35" fillId="4" borderId="0" xfId="0" applyFont="1" applyFill="1"/>
    <xf numFmtId="0" fontId="33" fillId="5" borderId="3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 wrapText="1"/>
    </xf>
    <xf numFmtId="164" fontId="33" fillId="5" borderId="3" xfId="0" applyNumberFormat="1" applyFont="1" applyFill="1" applyBorder="1" applyAlignment="1">
      <alignment horizontal="center" vertical="center"/>
    </xf>
    <xf numFmtId="165" fontId="29" fillId="3" borderId="0" xfId="0" applyNumberFormat="1" applyFont="1" applyFill="1" applyBorder="1"/>
    <xf numFmtId="0" fontId="29" fillId="2" borderId="3" xfId="0" applyFont="1" applyFill="1" applyBorder="1" applyProtection="1">
      <protection locked="0"/>
    </xf>
    <xf numFmtId="4" fontId="29" fillId="7" borderId="3" xfId="0" applyNumberFormat="1" applyFont="1" applyFill="1" applyBorder="1" applyProtection="1">
      <protection locked="0"/>
    </xf>
    <xf numFmtId="4" fontId="29" fillId="6" borderId="3" xfId="0" applyNumberFormat="1" applyFont="1" applyFill="1" applyBorder="1" applyProtection="1">
      <protection locked="0"/>
    </xf>
    <xf numFmtId="164" fontId="29" fillId="2" borderId="3" xfId="0" applyNumberFormat="1" applyFont="1" applyFill="1" applyBorder="1"/>
    <xf numFmtId="0" fontId="29" fillId="2" borderId="3" xfId="0" applyFont="1" applyFill="1" applyBorder="1" applyAlignment="1" applyProtection="1">
      <alignment wrapText="1"/>
      <protection locked="0"/>
    </xf>
    <xf numFmtId="0" fontId="29" fillId="0" borderId="3" xfId="0" applyFont="1" applyBorder="1"/>
    <xf numFmtId="0" fontId="33" fillId="2" borderId="0" xfId="0" applyFont="1" applyFill="1" applyBorder="1" applyAlignment="1" applyProtection="1">
      <alignment horizontal="center"/>
      <protection locked="0"/>
    </xf>
    <xf numFmtId="0" fontId="36" fillId="3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41" fillId="0" borderId="0" xfId="0" applyFont="1" applyBorder="1" applyAlignment="1">
      <alignment horizontal="right" vertical="center" wrapText="1"/>
    </xf>
    <xf numFmtId="0" fontId="28" fillId="3" borderId="0" xfId="0" applyFont="1" applyFill="1"/>
    <xf numFmtId="0" fontId="39" fillId="8" borderId="0" xfId="0" applyFont="1" applyFill="1" applyBorder="1"/>
    <xf numFmtId="0" fontId="45" fillId="0" borderId="0" xfId="1" applyFont="1" applyAlignment="1">
      <alignment horizontal="left"/>
    </xf>
    <xf numFmtId="0" fontId="46" fillId="0" borderId="0" xfId="1" applyFont="1" applyAlignment="1">
      <alignment horizontal="left"/>
    </xf>
    <xf numFmtId="0" fontId="44" fillId="0" borderId="0" xfId="1"/>
    <xf numFmtId="0" fontId="44" fillId="0" borderId="0" xfId="1" applyFont="1"/>
    <xf numFmtId="1" fontId="44" fillId="0" borderId="0" xfId="1" applyNumberFormat="1"/>
    <xf numFmtId="1" fontId="52" fillId="0" borderId="0" xfId="1" applyNumberFormat="1" applyFont="1" applyBorder="1" applyAlignment="1">
      <alignment horizontal="center"/>
    </xf>
    <xf numFmtId="9" fontId="44" fillId="0" borderId="0" xfId="2"/>
    <xf numFmtId="1" fontId="44" fillId="0" borderId="4" xfId="1" applyNumberFormat="1" applyBorder="1"/>
    <xf numFmtId="1" fontId="44" fillId="0" borderId="0" xfId="1" applyNumberFormat="1" applyBorder="1"/>
    <xf numFmtId="0" fontId="42" fillId="8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5" fillId="0" borderId="0" xfId="0" applyFont="1" applyBorder="1"/>
    <xf numFmtId="0" fontId="54" fillId="0" borderId="0" xfId="0" applyFont="1" applyBorder="1" applyAlignment="1">
      <alignment horizontal="right"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vertical="center" wrapText="1"/>
    </xf>
    <xf numFmtId="0" fontId="57" fillId="0" borderId="0" xfId="0" applyFont="1" applyBorder="1"/>
    <xf numFmtId="0" fontId="36" fillId="8" borderId="0" xfId="0" applyFont="1" applyFill="1" applyAlignment="1">
      <alignment horizontal="left"/>
    </xf>
    <xf numFmtId="1" fontId="29" fillId="3" borderId="0" xfId="0" applyNumberFormat="1" applyFont="1" applyFill="1"/>
    <xf numFmtId="1" fontId="36" fillId="8" borderId="0" xfId="0" applyNumberFormat="1" applyFont="1" applyFill="1" applyAlignment="1">
      <alignment horizontal="center"/>
    </xf>
    <xf numFmtId="1" fontId="38" fillId="0" borderId="0" xfId="0" applyNumberFormat="1" applyFont="1" applyBorder="1" applyAlignment="1">
      <alignment horizontal="center"/>
    </xf>
    <xf numFmtId="1" fontId="29" fillId="3" borderId="0" xfId="0" applyNumberFormat="1" applyFont="1" applyFill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Border="1"/>
    <xf numFmtId="0" fontId="28" fillId="2" borderId="3" xfId="0" applyFont="1" applyFill="1" applyBorder="1" applyProtection="1">
      <protection locked="0"/>
    </xf>
    <xf numFmtId="0" fontId="50" fillId="0" borderId="0" xfId="0" applyFont="1" applyFill="1" applyBorder="1" applyAlignment="1">
      <alignment vertical="center" wrapText="1"/>
    </xf>
    <xf numFmtId="0" fontId="0" fillId="0" borderId="0" xfId="0" pivotButton="1"/>
    <xf numFmtId="0" fontId="37" fillId="3" borderId="0" xfId="0" applyFont="1" applyFill="1"/>
    <xf numFmtId="0" fontId="37" fillId="2" borderId="1" xfId="0" applyFont="1" applyFill="1" applyBorder="1" applyProtection="1">
      <protection locked="0"/>
    </xf>
    <xf numFmtId="4" fontId="37" fillId="7" borderId="1" xfId="0" applyNumberFormat="1" applyFont="1" applyFill="1" applyBorder="1" applyProtection="1">
      <protection locked="0"/>
    </xf>
    <xf numFmtId="4" fontId="37" fillId="6" borderId="1" xfId="0" applyNumberFormat="1" applyFont="1" applyFill="1" applyBorder="1" applyProtection="1">
      <protection locked="0"/>
    </xf>
    <xf numFmtId="1" fontId="50" fillId="0" borderId="7" xfId="1" applyNumberFormat="1" applyFont="1" applyBorder="1" applyAlignment="1">
      <alignment horizontal="left"/>
    </xf>
    <xf numFmtId="164" fontId="37" fillId="2" borderId="3" xfId="0" applyNumberFormat="1" applyFont="1" applyFill="1" applyBorder="1"/>
    <xf numFmtId="4" fontId="0" fillId="0" borderId="0" xfId="0" applyNumberFormat="1"/>
    <xf numFmtId="0" fontId="33" fillId="7" borderId="3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/>
    </xf>
    <xf numFmtId="0" fontId="60" fillId="0" borderId="0" xfId="0" applyFont="1" applyBorder="1"/>
    <xf numFmtId="0" fontId="33" fillId="2" borderId="0" xfId="0" applyFont="1" applyFill="1" applyAlignment="1">
      <alignment horizontal="left"/>
    </xf>
    <xf numFmtId="0" fontId="27" fillId="3" borderId="0" xfId="0" applyFont="1" applyFill="1"/>
    <xf numFmtId="0" fontId="36" fillId="8" borderId="0" xfId="0" applyFont="1" applyFill="1" applyAlignment="1">
      <alignment horizontal="center"/>
    </xf>
    <xf numFmtId="0" fontId="62" fillId="2" borderId="0" xfId="0" applyFont="1" applyFill="1" applyAlignment="1">
      <alignment horizontal="center"/>
    </xf>
    <xf numFmtId="0" fontId="32" fillId="0" borderId="0" xfId="0" applyFont="1" applyFill="1" applyBorder="1" applyAlignment="1">
      <alignment vertical="center" wrapText="1"/>
    </xf>
    <xf numFmtId="14" fontId="29" fillId="2" borderId="3" xfId="0" applyNumberFormat="1" applyFont="1" applyFill="1" applyBorder="1" applyProtection="1">
      <protection locked="0"/>
    </xf>
    <xf numFmtId="0" fontId="27" fillId="2" borderId="3" xfId="0" applyFont="1" applyFill="1" applyBorder="1" applyAlignment="1" applyProtection="1">
      <alignment vertical="center" wrapText="1"/>
      <protection locked="0"/>
    </xf>
    <xf numFmtId="0" fontId="65" fillId="3" borderId="0" xfId="0" applyFont="1" applyFill="1"/>
    <xf numFmtId="0" fontId="65" fillId="2" borderId="3" xfId="0" applyFont="1" applyFill="1" applyBorder="1" applyProtection="1">
      <protection locked="0"/>
    </xf>
    <xf numFmtId="14" fontId="65" fillId="2" borderId="3" xfId="0" applyNumberFormat="1" applyFont="1" applyFill="1" applyBorder="1" applyProtection="1">
      <protection locked="0"/>
    </xf>
    <xf numFmtId="4" fontId="65" fillId="7" borderId="3" xfId="0" applyNumberFormat="1" applyFont="1" applyFill="1" applyBorder="1" applyProtection="1">
      <protection locked="0"/>
    </xf>
    <xf numFmtId="4" fontId="65" fillId="6" borderId="3" xfId="0" applyNumberFormat="1" applyFont="1" applyFill="1" applyBorder="1" applyProtection="1">
      <protection locked="0"/>
    </xf>
    <xf numFmtId="164" fontId="65" fillId="2" borderId="3" xfId="0" applyNumberFormat="1" applyFont="1" applyFill="1" applyBorder="1"/>
    <xf numFmtId="0" fontId="66" fillId="2" borderId="0" xfId="0" applyFont="1" applyFill="1" applyAlignment="1">
      <alignment horizontal="center"/>
    </xf>
    <xf numFmtId="0" fontId="67" fillId="0" borderId="0" xfId="0" applyFont="1" applyBorder="1" applyAlignment="1">
      <alignment horizontal="right" vertical="center" wrapText="1"/>
    </xf>
    <xf numFmtId="0" fontId="65" fillId="2" borderId="3" xfId="0" applyFont="1" applyFill="1" applyBorder="1" applyAlignment="1" applyProtection="1">
      <alignment wrapText="1"/>
      <protection locked="0"/>
    </xf>
    <xf numFmtId="0" fontId="65" fillId="0" borderId="3" xfId="0" applyFont="1" applyBorder="1"/>
    <xf numFmtId="0" fontId="36" fillId="8" borderId="0" xfId="0" applyFont="1" applyFill="1" applyAlignment="1"/>
    <xf numFmtId="0" fontId="59" fillId="2" borderId="0" xfId="0" applyFont="1" applyFill="1" applyAlignment="1"/>
    <xf numFmtId="0" fontId="33" fillId="2" borderId="2" xfId="0" applyFont="1" applyFill="1" applyBorder="1" applyAlignment="1" applyProtection="1">
      <protection locked="0"/>
    </xf>
    <xf numFmtId="0" fontId="33" fillId="2" borderId="8" xfId="0" applyFont="1" applyFill="1" applyBorder="1" applyAlignment="1" applyProtection="1">
      <protection locked="0"/>
    </xf>
    <xf numFmtId="0" fontId="33" fillId="2" borderId="0" xfId="0" applyFont="1" applyFill="1" applyAlignment="1"/>
    <xf numFmtId="0" fontId="42" fillId="8" borderId="0" xfId="0" applyFont="1" applyFill="1" applyBorder="1" applyAlignment="1">
      <alignment horizontal="left"/>
    </xf>
    <xf numFmtId="0" fontId="40" fillId="0" borderId="4" xfId="0" applyFont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left"/>
    </xf>
    <xf numFmtId="0" fontId="32" fillId="0" borderId="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68" fillId="0" borderId="0" xfId="0" applyFont="1" applyBorder="1" applyAlignment="1">
      <alignment horizontal="right" vertical="center" wrapText="1"/>
    </xf>
    <xf numFmtId="0" fontId="68" fillId="0" borderId="0" xfId="0" applyFont="1" applyBorder="1" applyAlignment="1">
      <alignment vertical="center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/>
    <xf numFmtId="0" fontId="0" fillId="0" borderId="0" xfId="0" applyAlignment="1">
      <alignment horizontal="left"/>
    </xf>
    <xf numFmtId="0" fontId="32" fillId="7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/>
    </xf>
    <xf numFmtId="0" fontId="44" fillId="0" borderId="0" xfId="1" applyFill="1"/>
    <xf numFmtId="0" fontId="25" fillId="3" borderId="0" xfId="0" applyFont="1" applyFill="1"/>
    <xf numFmtId="0" fontId="25" fillId="2" borderId="3" xfId="0" applyFont="1" applyFill="1" applyBorder="1" applyProtection="1">
      <protection locked="0"/>
    </xf>
    <xf numFmtId="0" fontId="25" fillId="2" borderId="3" xfId="0" applyFont="1" applyFill="1" applyBorder="1" applyAlignment="1" applyProtection="1">
      <alignment wrapText="1"/>
      <protection locked="0"/>
    </xf>
    <xf numFmtId="14" fontId="25" fillId="2" borderId="3" xfId="0" applyNumberFormat="1" applyFont="1" applyFill="1" applyBorder="1" applyProtection="1">
      <protection locked="0"/>
    </xf>
    <xf numFmtId="0" fontId="25" fillId="0" borderId="3" xfId="0" applyFont="1" applyBorder="1"/>
    <xf numFmtId="0" fontId="29" fillId="2" borderId="14" xfId="0" applyFont="1" applyFill="1" applyBorder="1" applyProtection="1">
      <protection locked="0"/>
    </xf>
    <xf numFmtId="14" fontId="29" fillId="2" borderId="14" xfId="0" applyNumberFormat="1" applyFont="1" applyFill="1" applyBorder="1" applyProtection="1">
      <protection locked="0"/>
    </xf>
    <xf numFmtId="4" fontId="29" fillId="7" borderId="14" xfId="0" applyNumberFormat="1" applyFont="1" applyFill="1" applyBorder="1" applyProtection="1">
      <protection locked="0"/>
    </xf>
    <xf numFmtId="4" fontId="29" fillId="6" borderId="14" xfId="0" applyNumberFormat="1" applyFont="1" applyFill="1" applyBorder="1" applyProtection="1">
      <protection locked="0"/>
    </xf>
    <xf numFmtId="0" fontId="29" fillId="0" borderId="14" xfId="0" applyFont="1" applyBorder="1"/>
    <xf numFmtId="0" fontId="29" fillId="2" borderId="14" xfId="0" applyFont="1" applyFill="1" applyBorder="1"/>
    <xf numFmtId="0" fontId="25" fillId="0" borderId="14" xfId="0" applyFont="1" applyBorder="1"/>
    <xf numFmtId="0" fontId="24" fillId="0" borderId="14" xfId="0" applyFont="1" applyBorder="1"/>
    <xf numFmtId="0" fontId="33" fillId="2" borderId="2" xfId="0" applyFont="1" applyFill="1" applyBorder="1" applyAlignment="1" applyProtection="1">
      <alignment horizontal="center"/>
      <protection locked="0"/>
    </xf>
    <xf numFmtId="14" fontId="23" fillId="2" borderId="14" xfId="0" applyNumberFormat="1" applyFont="1" applyFill="1" applyBorder="1" applyProtection="1">
      <protection locked="0"/>
    </xf>
    <xf numFmtId="0" fontId="33" fillId="5" borderId="10" xfId="0" applyFont="1" applyFill="1" applyBorder="1" applyAlignment="1">
      <alignment horizontal="center" vertical="center"/>
    </xf>
    <xf numFmtId="14" fontId="29" fillId="2" borderId="15" xfId="0" applyNumberFormat="1" applyFont="1" applyFill="1" applyBorder="1" applyProtection="1">
      <protection locked="0"/>
    </xf>
    <xf numFmtId="4" fontId="29" fillId="6" borderId="16" xfId="0" applyNumberFormat="1" applyFont="1" applyFill="1" applyBorder="1" applyProtection="1">
      <protection locked="0"/>
    </xf>
    <xf numFmtId="4" fontId="29" fillId="7" borderId="10" xfId="0" applyNumberFormat="1" applyFont="1" applyFill="1" applyBorder="1" applyProtection="1">
      <protection locked="0"/>
    </xf>
    <xf numFmtId="4" fontId="31" fillId="7" borderId="13" xfId="0" applyNumberFormat="1" applyFont="1" applyFill="1" applyBorder="1" applyProtection="1">
      <protection locked="0"/>
    </xf>
    <xf numFmtId="0" fontId="23" fillId="2" borderId="3" xfId="0" applyFont="1" applyFill="1" applyBorder="1" applyProtection="1">
      <protection locked="0"/>
    </xf>
    <xf numFmtId="0" fontId="23" fillId="2" borderId="3" xfId="0" applyFont="1" applyFill="1" applyBorder="1" applyAlignment="1" applyProtection="1">
      <alignment vertical="center" wrapText="1"/>
      <protection locked="0"/>
    </xf>
    <xf numFmtId="0" fontId="23" fillId="0" borderId="14" xfId="0" applyFont="1" applyBorder="1"/>
    <xf numFmtId="0" fontId="23" fillId="0" borderId="3" xfId="0" applyFont="1" applyBorder="1"/>
    <xf numFmtId="0" fontId="23" fillId="8" borderId="3" xfId="0" applyFont="1" applyFill="1" applyBorder="1" applyProtection="1">
      <protection locked="0"/>
    </xf>
    <xf numFmtId="0" fontId="23" fillId="2" borderId="3" xfId="0" applyFont="1" applyFill="1" applyBorder="1" applyAlignment="1" applyProtection="1">
      <alignment wrapText="1"/>
      <protection locked="0"/>
    </xf>
    <xf numFmtId="0" fontId="41" fillId="0" borderId="0" xfId="0" applyFont="1" applyBorder="1" applyAlignment="1">
      <alignment vertical="center" wrapText="1"/>
    </xf>
    <xf numFmtId="0" fontId="39" fillId="0" borderId="12" xfId="0" applyFont="1" applyBorder="1"/>
    <xf numFmtId="0" fontId="32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 vertical="center" wrapText="1"/>
    </xf>
    <xf numFmtId="0" fontId="57" fillId="0" borderId="12" xfId="0" applyFont="1" applyBorder="1"/>
    <xf numFmtId="0" fontId="55" fillId="0" borderId="12" xfId="0" applyFont="1" applyBorder="1"/>
    <xf numFmtId="0" fontId="69" fillId="0" borderId="12" xfId="0" applyFont="1" applyBorder="1"/>
    <xf numFmtId="0" fontId="42" fillId="11" borderId="0" xfId="0" applyFont="1" applyFill="1" applyBorder="1" applyAlignment="1">
      <alignment horizontal="left"/>
    </xf>
    <xf numFmtId="0" fontId="43" fillId="11" borderId="0" xfId="0" applyFont="1" applyFill="1" applyBorder="1"/>
    <xf numFmtId="0" fontId="42" fillId="11" borderId="0" xfId="0" applyFont="1" applyFill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28" fillId="2" borderId="14" xfId="0" applyFont="1" applyFill="1" applyBorder="1" applyProtection="1">
      <protection locked="0"/>
    </xf>
    <xf numFmtId="0" fontId="27" fillId="2" borderId="14" xfId="0" applyFont="1" applyFill="1" applyBorder="1" applyAlignment="1" applyProtection="1">
      <alignment vertical="center" wrapText="1"/>
      <protection locked="0"/>
    </xf>
    <xf numFmtId="0" fontId="29" fillId="2" borderId="14" xfId="0" applyFont="1" applyFill="1" applyBorder="1" applyAlignment="1" applyProtection="1">
      <alignment wrapText="1"/>
      <protection locked="0"/>
    </xf>
    <xf numFmtId="1" fontId="50" fillId="0" borderId="0" xfId="1" applyNumberFormat="1" applyFont="1" applyBorder="1" applyAlignment="1">
      <alignment horizontal="left"/>
    </xf>
    <xf numFmtId="0" fontId="65" fillId="2" borderId="14" xfId="0" applyFont="1" applyFill="1" applyBorder="1" applyProtection="1">
      <protection locked="0"/>
    </xf>
    <xf numFmtId="0" fontId="65" fillId="2" borderId="14" xfId="0" applyFont="1" applyFill="1" applyBorder="1" applyAlignment="1" applyProtection="1">
      <alignment wrapText="1"/>
      <protection locked="0"/>
    </xf>
    <xf numFmtId="0" fontId="65" fillId="0" borderId="14" xfId="0" applyFont="1" applyBorder="1"/>
    <xf numFmtId="0" fontId="71" fillId="7" borderId="0" xfId="0" applyFont="1" applyFill="1" applyBorder="1" applyAlignment="1">
      <alignment horizontal="center" vertical="center" wrapText="1"/>
    </xf>
    <xf numFmtId="4" fontId="29" fillId="8" borderId="14" xfId="0" applyNumberFormat="1" applyFont="1" applyFill="1" applyBorder="1" applyProtection="1">
      <protection locked="0"/>
    </xf>
    <xf numFmtId="0" fontId="37" fillId="2" borderId="3" xfId="0" applyFont="1" applyFill="1" applyBorder="1" applyProtection="1">
      <protection locked="0"/>
    </xf>
    <xf numFmtId="14" fontId="37" fillId="2" borderId="14" xfId="0" applyNumberFormat="1" applyFont="1" applyFill="1" applyBorder="1" applyProtection="1">
      <protection locked="0"/>
    </xf>
    <xf numFmtId="0" fontId="37" fillId="0" borderId="14" xfId="0" applyFont="1" applyBorder="1"/>
    <xf numFmtId="0" fontId="37" fillId="0" borderId="3" xfId="0" applyFont="1" applyBorder="1"/>
    <xf numFmtId="4" fontId="37" fillId="7" borderId="14" xfId="0" applyNumberFormat="1" applyFont="1" applyFill="1" applyBorder="1" applyProtection="1">
      <protection locked="0"/>
    </xf>
    <xf numFmtId="4" fontId="37" fillId="6" borderId="14" xfId="0" applyNumberFormat="1" applyFont="1" applyFill="1" applyBorder="1" applyProtection="1">
      <protection locked="0"/>
    </xf>
    <xf numFmtId="0" fontId="37" fillId="3" borderId="0" xfId="0" applyFont="1" applyFill="1" applyBorder="1" applyAlignment="1">
      <alignment horizontal="center"/>
    </xf>
    <xf numFmtId="4" fontId="37" fillId="7" borderId="3" xfId="0" applyNumberFormat="1" applyFont="1" applyFill="1" applyBorder="1" applyProtection="1">
      <protection locked="0"/>
    </xf>
    <xf numFmtId="4" fontId="37" fillId="6" borderId="3" xfId="0" applyNumberFormat="1" applyFont="1" applyFill="1" applyBorder="1" applyProtection="1">
      <protection locked="0"/>
    </xf>
    <xf numFmtId="0" fontId="67" fillId="8" borderId="0" xfId="0" applyFont="1" applyFill="1" applyBorder="1" applyAlignment="1">
      <alignment horizontal="right" vertical="center" wrapText="1"/>
    </xf>
    <xf numFmtId="0" fontId="36" fillId="2" borderId="12" xfId="0" applyFont="1" applyFill="1" applyBorder="1" applyAlignment="1">
      <alignment horizontal="center"/>
    </xf>
    <xf numFmtId="0" fontId="62" fillId="2" borderId="12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center"/>
    </xf>
    <xf numFmtId="0" fontId="41" fillId="0" borderId="12" xfId="0" applyFont="1" applyBorder="1" applyAlignment="1">
      <alignment horizontal="center" vertical="center" wrapText="1"/>
    </xf>
    <xf numFmtId="4" fontId="22" fillId="7" borderId="14" xfId="0" applyNumberFormat="1" applyFont="1" applyFill="1" applyBorder="1" applyProtection="1">
      <protection locked="0"/>
    </xf>
    <xf numFmtId="4" fontId="22" fillId="6" borderId="14" xfId="0" applyNumberFormat="1" applyFont="1" applyFill="1" applyBorder="1" applyProtection="1">
      <protection locked="0"/>
    </xf>
    <xf numFmtId="0" fontId="22" fillId="0" borderId="14" xfId="0" applyFont="1" applyBorder="1"/>
    <xf numFmtId="0" fontId="22" fillId="2" borderId="14" xfId="0" applyFont="1" applyFill="1" applyBorder="1" applyProtection="1">
      <protection locked="0"/>
    </xf>
    <xf numFmtId="14" fontId="22" fillId="2" borderId="14" xfId="0" applyNumberFormat="1" applyFont="1" applyFill="1" applyBorder="1" applyProtection="1">
      <protection locked="0"/>
    </xf>
    <xf numFmtId="0" fontId="22" fillId="3" borderId="0" xfId="0" applyFont="1" applyFill="1"/>
    <xf numFmtId="0" fontId="64" fillId="2" borderId="14" xfId="0" applyFont="1" applyFill="1" applyBorder="1" applyProtection="1">
      <protection locked="0"/>
    </xf>
    <xf numFmtId="0" fontId="22" fillId="0" borderId="3" xfId="0" applyFont="1" applyBorder="1"/>
    <xf numFmtId="0" fontId="22" fillId="2" borderId="3" xfId="0" applyFont="1" applyFill="1" applyBorder="1" applyProtection="1">
      <protection locked="0"/>
    </xf>
    <xf numFmtId="0" fontId="62" fillId="2" borderId="0" xfId="0" applyFont="1" applyFill="1" applyAlignment="1">
      <alignment horizontal="left"/>
    </xf>
    <xf numFmtId="0" fontId="22" fillId="8" borderId="0" xfId="0" applyFont="1" applyFill="1"/>
    <xf numFmtId="0" fontId="0" fillId="0" borderId="0" xfId="0" applyBorder="1"/>
    <xf numFmtId="14" fontId="65" fillId="2" borderId="14" xfId="0" applyNumberFormat="1" applyFont="1" applyFill="1" applyBorder="1"/>
    <xf numFmtId="0" fontId="21" fillId="3" borderId="0" xfId="0" applyFont="1" applyFill="1"/>
    <xf numFmtId="0" fontId="21" fillId="2" borderId="14" xfId="0" applyFont="1" applyFill="1" applyBorder="1"/>
    <xf numFmtId="0" fontId="21" fillId="2" borderId="3" xfId="0" applyFont="1" applyFill="1" applyBorder="1"/>
    <xf numFmtId="14" fontId="29" fillId="2" borderId="14" xfId="0" applyNumberFormat="1" applyFont="1" applyFill="1" applyBorder="1"/>
    <xf numFmtId="0" fontId="20" fillId="2" borderId="14" xfId="0" applyFont="1" applyFill="1" applyBorder="1"/>
    <xf numFmtId="0" fontId="20" fillId="3" borderId="0" xfId="0" applyFont="1" applyFill="1"/>
    <xf numFmtId="0" fontId="20" fillId="2" borderId="3" xfId="0" applyFont="1" applyFill="1" applyBorder="1"/>
    <xf numFmtId="0" fontId="19" fillId="3" borderId="0" xfId="0" applyFont="1" applyFill="1"/>
    <xf numFmtId="0" fontId="19" fillId="2" borderId="14" xfId="0" applyFont="1" applyFill="1" applyBorder="1"/>
    <xf numFmtId="0" fontId="19" fillId="2" borderId="3" xfId="0" applyFont="1" applyFill="1" applyBorder="1"/>
    <xf numFmtId="0" fontId="18" fillId="3" borderId="0" xfId="0" applyFont="1" applyFill="1"/>
    <xf numFmtId="0" fontId="18" fillId="2" borderId="14" xfId="0" applyFont="1" applyFill="1" applyBorder="1"/>
    <xf numFmtId="0" fontId="18" fillId="2" borderId="3" xfId="0" applyFont="1" applyFill="1" applyBorder="1"/>
    <xf numFmtId="0" fontId="29" fillId="3" borderId="14" xfId="0" applyFont="1" applyFill="1" applyBorder="1"/>
    <xf numFmtId="14" fontId="29" fillId="3" borderId="14" xfId="0" applyNumberFormat="1" applyFont="1" applyFill="1" applyBorder="1"/>
    <xf numFmtId="0" fontId="18" fillId="3" borderId="14" xfId="0" applyFont="1" applyFill="1" applyBorder="1"/>
    <xf numFmtId="0" fontId="18" fillId="8" borderId="14" xfId="0" applyFont="1" applyFill="1" applyBorder="1"/>
    <xf numFmtId="0" fontId="62" fillId="2" borderId="0" xfId="0" applyFont="1" applyFill="1" applyBorder="1" applyAlignment="1">
      <alignment horizontal="center"/>
    </xf>
    <xf numFmtId="0" fontId="17" fillId="0" borderId="3" xfId="0" applyFont="1" applyBorder="1"/>
    <xf numFmtId="0" fontId="64" fillId="2" borderId="14" xfId="0" applyFont="1" applyFill="1" applyBorder="1"/>
    <xf numFmtId="0" fontId="64" fillId="2" borderId="3" xfId="0" applyFont="1" applyFill="1" applyBorder="1"/>
    <xf numFmtId="0" fontId="64" fillId="3" borderId="0" xfId="0" applyFont="1" applyFill="1" applyBorder="1" applyAlignment="1">
      <alignment horizontal="center"/>
    </xf>
    <xf numFmtId="0" fontId="64" fillId="3" borderId="0" xfId="0" applyFont="1" applyFill="1"/>
    <xf numFmtId="0" fontId="64" fillId="2" borderId="3" xfId="0" applyFont="1" applyFill="1" applyBorder="1" applyProtection="1">
      <protection locked="0"/>
    </xf>
    <xf numFmtId="0" fontId="64" fillId="0" borderId="14" xfId="0" applyFont="1" applyBorder="1"/>
    <xf numFmtId="0" fontId="64" fillId="0" borderId="3" xfId="0" applyFont="1" applyBorder="1"/>
    <xf numFmtId="4" fontId="64" fillId="7" borderId="3" xfId="0" applyNumberFormat="1" applyFont="1" applyFill="1" applyBorder="1" applyProtection="1">
      <protection locked="0"/>
    </xf>
    <xf numFmtId="4" fontId="64" fillId="6" borderId="3" xfId="0" applyNumberFormat="1" applyFont="1" applyFill="1" applyBorder="1" applyProtection="1">
      <protection locked="0"/>
    </xf>
    <xf numFmtId="14" fontId="64" fillId="2" borderId="14" xfId="0" applyNumberFormat="1" applyFont="1" applyFill="1" applyBorder="1"/>
    <xf numFmtId="0" fontId="17" fillId="3" borderId="14" xfId="0" applyFont="1" applyFill="1" applyBorder="1"/>
    <xf numFmtId="0" fontId="29" fillId="8" borderId="14" xfId="0" applyFont="1" applyFill="1" applyBorder="1"/>
    <xf numFmtId="0" fontId="76" fillId="0" borderId="14" xfId="6" applyFont="1" applyBorder="1" applyAlignment="1">
      <alignment wrapText="1"/>
    </xf>
    <xf numFmtId="0" fontId="16" fillId="3" borderId="14" xfId="0" applyFont="1" applyFill="1" applyBorder="1"/>
    <xf numFmtId="14" fontId="29" fillId="8" borderId="14" xfId="0" applyNumberFormat="1" applyFont="1" applyFill="1" applyBorder="1"/>
    <xf numFmtId="4" fontId="33" fillId="5" borderId="9" xfId="0" applyNumberFormat="1" applyFont="1" applyFill="1" applyBorder="1" applyAlignment="1">
      <alignment horizontal="center" vertical="center" wrapText="1"/>
    </xf>
    <xf numFmtId="4" fontId="33" fillId="5" borderId="3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/>
    <xf numFmtId="4" fontId="33" fillId="2" borderId="2" xfId="0" applyNumberFormat="1" applyFont="1" applyFill="1" applyBorder="1" applyAlignment="1" applyProtection="1">
      <protection locked="0"/>
    </xf>
    <xf numFmtId="4" fontId="33" fillId="2" borderId="2" xfId="0" applyNumberFormat="1" applyFont="1" applyFill="1" applyBorder="1" applyAlignment="1" applyProtection="1">
      <alignment horizontal="center"/>
      <protection locked="0"/>
    </xf>
    <xf numFmtId="4" fontId="33" fillId="2" borderId="0" xfId="0" applyNumberFormat="1" applyFont="1" applyFill="1" applyBorder="1" applyAlignment="1" applyProtection="1">
      <alignment horizontal="center"/>
      <protection locked="0"/>
    </xf>
    <xf numFmtId="4" fontId="33" fillId="2" borderId="2" xfId="0" applyNumberFormat="1" applyFont="1" applyFill="1" applyBorder="1" applyProtection="1">
      <protection locked="0"/>
    </xf>
    <xf numFmtId="4" fontId="33" fillId="2" borderId="0" xfId="0" applyNumberFormat="1" applyFont="1" applyFill="1" applyBorder="1" applyAlignment="1">
      <alignment horizontal="center"/>
    </xf>
    <xf numFmtId="4" fontId="65" fillId="6" borderId="14" xfId="0" applyNumberFormat="1" applyFont="1" applyFill="1" applyBorder="1"/>
    <xf numFmtId="4" fontId="29" fillId="7" borderId="14" xfId="0" applyNumberFormat="1" applyFont="1" applyFill="1" applyBorder="1"/>
    <xf numFmtId="4" fontId="29" fillId="14" borderId="14" xfId="0" applyNumberFormat="1" applyFont="1" applyFill="1" applyBorder="1"/>
    <xf numFmtId="4" fontId="18" fillId="6" borderId="14" xfId="0" applyNumberFormat="1" applyFont="1" applyFill="1" applyBorder="1"/>
    <xf numFmtId="4" fontId="29" fillId="3" borderId="0" xfId="0" applyNumberFormat="1" applyFont="1" applyFill="1"/>
    <xf numFmtId="4" fontId="18" fillId="14" borderId="14" xfId="0" applyNumberFormat="1" applyFont="1" applyFill="1" applyBorder="1"/>
    <xf numFmtId="4" fontId="29" fillId="2" borderId="13" xfId="0" applyNumberFormat="1" applyFont="1" applyFill="1" applyBorder="1" applyAlignment="1">
      <alignment horizontal="center"/>
    </xf>
    <xf numFmtId="4" fontId="22" fillId="14" borderId="14" xfId="0" applyNumberFormat="1" applyFont="1" applyFill="1" applyBorder="1" applyProtection="1">
      <protection locked="0"/>
    </xf>
    <xf numFmtId="4" fontId="29" fillId="14" borderId="14" xfId="0" applyNumberFormat="1" applyFont="1" applyFill="1" applyBorder="1" applyProtection="1">
      <protection locked="0"/>
    </xf>
    <xf numFmtId="4" fontId="29" fillId="14" borderId="3" xfId="0" applyNumberFormat="1" applyFont="1" applyFill="1" applyBorder="1" applyProtection="1">
      <protection locked="0"/>
    </xf>
    <xf numFmtId="4" fontId="25" fillId="14" borderId="14" xfId="0" applyNumberFormat="1" applyFont="1" applyFill="1" applyBorder="1" applyProtection="1">
      <protection locked="0"/>
    </xf>
    <xf numFmtId="4" fontId="18" fillId="0" borderId="14" xfId="0" applyNumberFormat="1" applyFont="1" applyFill="1" applyBorder="1"/>
    <xf numFmtId="4" fontId="37" fillId="14" borderId="14" xfId="0" applyNumberFormat="1" applyFont="1" applyFill="1" applyBorder="1"/>
    <xf numFmtId="4" fontId="37" fillId="7" borderId="14" xfId="0" applyNumberFormat="1" applyFont="1" applyFill="1" applyBorder="1"/>
    <xf numFmtId="4" fontId="37" fillId="15" borderId="14" xfId="0" applyNumberFormat="1" applyFont="1" applyFill="1" applyBorder="1"/>
    <xf numFmtId="0" fontId="15" fillId="3" borderId="14" xfId="0" applyFont="1" applyFill="1" applyBorder="1"/>
    <xf numFmtId="14" fontId="18" fillId="2" borderId="14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61" fillId="0" borderId="0" xfId="0" applyFont="1"/>
    <xf numFmtId="0" fontId="62" fillId="15" borderId="12" xfId="0" applyFont="1" applyFill="1" applyBorder="1" applyAlignment="1">
      <alignment horizontal="center"/>
    </xf>
    <xf numFmtId="0" fontId="13" fillId="0" borderId="3" xfId="0" applyFont="1" applyBorder="1"/>
    <xf numFmtId="0" fontId="13" fillId="2" borderId="3" xfId="0" applyFont="1" applyFill="1" applyBorder="1" applyProtection="1">
      <protection locked="0"/>
    </xf>
    <xf numFmtId="0" fontId="13" fillId="0" borderId="14" xfId="0" applyFont="1" applyBorder="1"/>
    <xf numFmtId="3" fontId="0" fillId="0" borderId="0" xfId="0" applyNumberFormat="1"/>
    <xf numFmtId="0" fontId="30" fillId="0" borderId="0" xfId="0" applyFont="1"/>
    <xf numFmtId="3" fontId="73" fillId="0" borderId="0" xfId="0" applyNumberFormat="1" applyFont="1" applyFill="1" applyAlignment="1">
      <alignment horizontal="center"/>
    </xf>
    <xf numFmtId="3" fontId="72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ill="1" applyBorder="1"/>
    <xf numFmtId="3" fontId="0" fillId="6" borderId="0" xfId="0" applyNumberFormat="1" applyFill="1"/>
    <xf numFmtId="0" fontId="0" fillId="13" borderId="0" xfId="0" applyFill="1"/>
    <xf numFmtId="0" fontId="0" fillId="6" borderId="0" xfId="0" applyFill="1"/>
    <xf numFmtId="0" fontId="79" fillId="0" borderId="0" xfId="0" applyFont="1"/>
    <xf numFmtId="0" fontId="39" fillId="0" borderId="0" xfId="0" pivotButton="1" applyFont="1" applyAlignment="1">
      <alignment horizontal="center" vertical="center" wrapText="1"/>
    </xf>
    <xf numFmtId="3" fontId="39" fillId="0" borderId="0" xfId="0" applyNumberFormat="1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3" fontId="0" fillId="13" borderId="0" xfId="0" applyNumberFormat="1" applyFill="1"/>
    <xf numFmtId="0" fontId="12" fillId="8" borderId="14" xfId="0" applyFont="1" applyFill="1" applyBorder="1"/>
    <xf numFmtId="0" fontId="12" fillId="3" borderId="14" xfId="0" applyFont="1" applyFill="1" applyBorder="1"/>
    <xf numFmtId="0" fontId="80" fillId="0" borderId="0" xfId="0" applyFont="1" applyFill="1" applyBorder="1" applyAlignment="1">
      <alignment horizontal="center"/>
    </xf>
    <xf numFmtId="0" fontId="80" fillId="0" borderId="0" xfId="0" applyFont="1" applyFill="1" applyBorder="1"/>
    <xf numFmtId="0" fontId="81" fillId="0" borderId="0" xfId="0" applyFont="1" applyBorder="1" applyAlignment="1">
      <alignment horizontal="center"/>
    </xf>
    <xf numFmtId="0" fontId="81" fillId="0" borderId="0" xfId="0" applyFont="1" applyBorder="1"/>
    <xf numFmtId="3" fontId="61" fillId="0" borderId="0" xfId="0" applyNumberFormat="1" applyFont="1"/>
    <xf numFmtId="14" fontId="64" fillId="2" borderId="3" xfId="0" applyNumberFormat="1" applyFont="1" applyFill="1" applyBorder="1" applyProtection="1">
      <protection locked="0"/>
    </xf>
    <xf numFmtId="0" fontId="56" fillId="8" borderId="0" xfId="0" applyFont="1" applyFill="1" applyBorder="1" applyAlignment="1">
      <alignment horizontal="right" vertical="center" wrapText="1"/>
    </xf>
    <xf numFmtId="165" fontId="64" fillId="3" borderId="0" xfId="0" applyNumberFormat="1" applyFont="1" applyFill="1" applyBorder="1"/>
    <xf numFmtId="1" fontId="64" fillId="3" borderId="0" xfId="0" applyNumberFormat="1" applyFont="1" applyFill="1" applyBorder="1"/>
    <xf numFmtId="0" fontId="56" fillId="0" borderId="0" xfId="0" applyFont="1" applyBorder="1" applyAlignment="1">
      <alignment horizontal="right" vertical="center" wrapText="1"/>
    </xf>
    <xf numFmtId="3" fontId="72" fillId="0" borderId="0" xfId="0" applyNumberFormat="1" applyFont="1" applyFill="1" applyBorder="1"/>
    <xf numFmtId="164" fontId="37" fillId="8" borderId="3" xfId="0" applyNumberFormat="1" applyFont="1" applyFill="1" applyBorder="1"/>
    <xf numFmtId="0" fontId="11" fillId="3" borderId="0" xfId="0" applyFont="1" applyFill="1"/>
    <xf numFmtId="0" fontId="11" fillId="2" borderId="14" xfId="0" applyFont="1" applyFill="1" applyBorder="1" applyProtection="1">
      <protection locked="0"/>
    </xf>
    <xf numFmtId="14" fontId="11" fillId="2" borderId="14" xfId="0" applyNumberFormat="1" applyFont="1" applyFill="1" applyBorder="1" applyProtection="1">
      <protection locked="0"/>
    </xf>
    <xf numFmtId="4" fontId="11" fillId="7" borderId="17" xfId="0" applyNumberFormat="1" applyFont="1" applyFill="1" applyBorder="1" applyProtection="1">
      <protection locked="0"/>
    </xf>
    <xf numFmtId="0" fontId="11" fillId="3" borderId="0" xfId="0" applyFont="1" applyFill="1" applyBorder="1" applyAlignment="1">
      <alignment horizontal="center"/>
    </xf>
    <xf numFmtId="4" fontId="11" fillId="6" borderId="14" xfId="0" applyNumberFormat="1" applyFont="1" applyFill="1" applyBorder="1" applyProtection="1">
      <protection locked="0"/>
    </xf>
    <xf numFmtId="165" fontId="11" fillId="3" borderId="0" xfId="0" applyNumberFormat="1" applyFont="1" applyFill="1" applyBorder="1"/>
    <xf numFmtId="1" fontId="11" fillId="3" borderId="0" xfId="0" applyNumberFormat="1" applyFont="1" applyFill="1" applyBorder="1"/>
    <xf numFmtId="0" fontId="45" fillId="0" borderId="0" xfId="1" applyFont="1" applyAlignment="1">
      <alignment horizontal="right"/>
    </xf>
    <xf numFmtId="0" fontId="48" fillId="9" borderId="29" xfId="1" applyFont="1" applyFill="1" applyBorder="1" applyAlignment="1">
      <alignment horizontal="center"/>
    </xf>
    <xf numFmtId="0" fontId="44" fillId="0" borderId="30" xfId="1" applyFont="1" applyFill="1" applyBorder="1"/>
    <xf numFmtId="0" fontId="48" fillId="9" borderId="31" xfId="1" applyFont="1" applyFill="1" applyBorder="1" applyAlignment="1">
      <alignment horizontal="center"/>
    </xf>
    <xf numFmtId="0" fontId="48" fillId="9" borderId="32" xfId="1" applyFont="1" applyFill="1" applyBorder="1" applyAlignment="1">
      <alignment horizontal="center"/>
    </xf>
    <xf numFmtId="0" fontId="48" fillId="9" borderId="33" xfId="1" applyFont="1" applyFill="1" applyBorder="1" applyAlignment="1">
      <alignment horizontal="center"/>
    </xf>
    <xf numFmtId="3" fontId="44" fillId="0" borderId="0" xfId="1" applyNumberFormat="1" applyFont="1" applyFill="1" applyBorder="1"/>
    <xf numFmtId="3" fontId="44" fillId="0" borderId="34" xfId="1" applyNumberFormat="1" applyFont="1" applyBorder="1" applyAlignment="1">
      <alignment horizontal="center"/>
    </xf>
    <xf numFmtId="3" fontId="44" fillId="0" borderId="35" xfId="1" applyNumberFormat="1" applyFont="1" applyBorder="1" applyAlignment="1">
      <alignment horizontal="left"/>
    </xf>
    <xf numFmtId="3" fontId="85" fillId="0" borderId="35" xfId="1" applyNumberFormat="1" applyFont="1" applyFill="1" applyBorder="1" applyAlignment="1">
      <alignment horizontal="center"/>
    </xf>
    <xf numFmtId="3" fontId="44" fillId="0" borderId="35" xfId="1" applyNumberFormat="1" applyFont="1" applyFill="1" applyBorder="1" applyAlignment="1">
      <alignment horizontal="center"/>
    </xf>
    <xf numFmtId="3" fontId="44" fillId="0" borderId="35" xfId="1" applyNumberFormat="1" applyFont="1" applyFill="1" applyBorder="1" applyAlignment="1">
      <alignment horizontal="left"/>
    </xf>
    <xf numFmtId="3" fontId="85" fillId="0" borderId="35" xfId="1" applyNumberFormat="1" applyFont="1" applyFill="1" applyBorder="1" applyAlignment="1">
      <alignment horizontal="right"/>
    </xf>
    <xf numFmtId="3" fontId="44" fillId="0" borderId="36" xfId="1" applyNumberFormat="1" applyFont="1" applyBorder="1" applyAlignment="1">
      <alignment horizontal="center"/>
    </xf>
    <xf numFmtId="3" fontId="44" fillId="0" borderId="37" xfId="1" applyNumberFormat="1" applyFont="1" applyBorder="1" applyAlignment="1">
      <alignment horizontal="left"/>
    </xf>
    <xf numFmtId="3" fontId="85" fillId="0" borderId="37" xfId="1" applyNumberFormat="1" applyFont="1" applyFill="1" applyBorder="1" applyAlignment="1">
      <alignment horizontal="right"/>
    </xf>
    <xf numFmtId="3" fontId="44" fillId="0" borderId="37" xfId="1" applyNumberFormat="1" applyFont="1" applyFill="1" applyBorder="1" applyAlignment="1">
      <alignment horizontal="center"/>
    </xf>
    <xf numFmtId="3" fontId="44" fillId="0" borderId="37" xfId="1" applyNumberFormat="1" applyFont="1" applyFill="1" applyBorder="1" applyAlignment="1">
      <alignment horizontal="left"/>
    </xf>
    <xf numFmtId="3" fontId="85" fillId="0" borderId="37" xfId="1" applyNumberFormat="1" applyFont="1" applyFill="1" applyBorder="1" applyAlignment="1">
      <alignment horizontal="center"/>
    </xf>
    <xf numFmtId="3" fontId="47" fillId="0" borderId="0" xfId="1" applyNumberFormat="1" applyFont="1" applyBorder="1" applyAlignment="1">
      <alignment horizontal="center"/>
    </xf>
    <xf numFmtId="0" fontId="47" fillId="0" borderId="0" xfId="1" applyFont="1" applyAlignment="1">
      <alignment horizontal="center"/>
    </xf>
    <xf numFmtId="3" fontId="44" fillId="0" borderId="0" xfId="1" applyNumberFormat="1" applyFont="1" applyBorder="1"/>
    <xf numFmtId="3" fontId="44" fillId="0" borderId="0" xfId="1" applyNumberFormat="1" applyFont="1" applyBorder="1" applyAlignment="1">
      <alignment horizontal="center"/>
    </xf>
    <xf numFmtId="3" fontId="44" fillId="0" borderId="35" xfId="1" applyNumberFormat="1" applyFont="1" applyBorder="1" applyAlignment="1">
      <alignment horizontal="center"/>
    </xf>
    <xf numFmtId="3" fontId="47" fillId="0" borderId="0" xfId="1" applyNumberFormat="1" applyFont="1" applyBorder="1"/>
    <xf numFmtId="0" fontId="47" fillId="0" borderId="0" xfId="1" applyFont="1"/>
    <xf numFmtId="3" fontId="86" fillId="0" borderId="35" xfId="1" applyNumberFormat="1" applyFont="1" applyFill="1" applyBorder="1" applyAlignment="1">
      <alignment horizontal="right"/>
    </xf>
    <xf numFmtId="3" fontId="44" fillId="0" borderId="35" xfId="1" applyNumberFormat="1" applyFont="1" applyBorder="1" applyAlignment="1"/>
    <xf numFmtId="3" fontId="44" fillId="0" borderId="37" xfId="1" applyNumberFormat="1" applyFont="1" applyBorder="1" applyAlignment="1">
      <alignment horizontal="center"/>
    </xf>
    <xf numFmtId="3" fontId="44" fillId="0" borderId="37" xfId="1" applyNumberFormat="1" applyFont="1" applyBorder="1" applyAlignment="1"/>
    <xf numFmtId="3" fontId="44" fillId="0" borderId="35" xfId="1" applyNumberFormat="1" applyFont="1" applyBorder="1"/>
    <xf numFmtId="3" fontId="44" fillId="0" borderId="35" xfId="1" applyNumberFormat="1" applyBorder="1" applyAlignment="1">
      <alignment horizontal="left"/>
    </xf>
    <xf numFmtId="3" fontId="44" fillId="0" borderId="36" xfId="1" applyNumberFormat="1" applyBorder="1" applyAlignment="1">
      <alignment horizontal="center"/>
    </xf>
    <xf numFmtId="3" fontId="44" fillId="0" borderId="37" xfId="1" applyNumberFormat="1" applyFont="1" applyBorder="1"/>
    <xf numFmtId="3" fontId="44" fillId="0" borderId="35" xfId="1" applyNumberFormat="1" applyBorder="1" applyAlignment="1">
      <alignment horizontal="center"/>
    </xf>
    <xf numFmtId="3" fontId="85" fillId="0" borderId="35" xfId="1" applyNumberFormat="1" applyFont="1" applyFill="1" applyBorder="1"/>
    <xf numFmtId="3" fontId="44" fillId="0" borderId="0" xfId="1" applyNumberFormat="1" applyBorder="1"/>
    <xf numFmtId="3" fontId="44" fillId="0" borderId="37" xfId="1" applyNumberFormat="1" applyBorder="1" applyAlignment="1">
      <alignment horizontal="center"/>
    </xf>
    <xf numFmtId="3" fontId="85" fillId="0" borderId="37" xfId="1" applyNumberFormat="1" applyFont="1" applyFill="1" applyBorder="1"/>
    <xf numFmtId="3" fontId="50" fillId="0" borderId="35" xfId="1" applyNumberFormat="1" applyFont="1" applyBorder="1" applyAlignment="1">
      <alignment horizontal="left"/>
    </xf>
    <xf numFmtId="3" fontId="86" fillId="0" borderId="35" xfId="1" applyNumberFormat="1" applyFont="1" applyFill="1" applyBorder="1"/>
    <xf numFmtId="3" fontId="86" fillId="0" borderId="37" xfId="1" applyNumberFormat="1" applyFont="1" applyFill="1" applyBorder="1" applyAlignment="1">
      <alignment horizontal="right"/>
    </xf>
    <xf numFmtId="3" fontId="86" fillId="0" borderId="37" xfId="1" applyNumberFormat="1" applyFont="1" applyFill="1" applyBorder="1"/>
    <xf numFmtId="3" fontId="70" fillId="0" borderId="0" xfId="1" applyNumberFormat="1" applyFont="1" applyFill="1" applyBorder="1" applyAlignment="1">
      <alignment horizontal="center"/>
    </xf>
    <xf numFmtId="3" fontId="44" fillId="0" borderId="0" xfId="1" applyNumberFormat="1" applyFill="1" applyBorder="1"/>
    <xf numFmtId="3" fontId="48" fillId="17" borderId="38" xfId="1" applyNumberFormat="1" applyFont="1" applyFill="1" applyBorder="1" applyAlignment="1">
      <alignment horizontal="left"/>
    </xf>
    <xf numFmtId="3" fontId="47" fillId="17" borderId="39" xfId="1" applyNumberFormat="1" applyFont="1" applyFill="1" applyBorder="1"/>
    <xf numFmtId="3" fontId="45" fillId="17" borderId="25" xfId="1" applyNumberFormat="1" applyFont="1" applyFill="1" applyBorder="1" applyAlignment="1">
      <alignment horizontal="center"/>
    </xf>
    <xf numFmtId="3" fontId="47" fillId="0" borderId="6" xfId="1" applyNumberFormat="1" applyFont="1" applyFill="1" applyBorder="1"/>
    <xf numFmtId="3" fontId="47" fillId="2" borderId="39" xfId="1" applyNumberFormat="1" applyFont="1" applyFill="1" applyBorder="1" applyAlignment="1">
      <alignment horizontal="center"/>
    </xf>
    <xf numFmtId="3" fontId="49" fillId="18" borderId="40" xfId="1" applyNumberFormat="1" applyFont="1" applyFill="1" applyBorder="1" applyAlignment="1">
      <alignment horizontal="left"/>
    </xf>
    <xf numFmtId="1" fontId="52" fillId="0" borderId="0" xfId="1" applyNumberFormat="1" applyFont="1" applyBorder="1" applyAlignment="1">
      <alignment horizontal="left"/>
    </xf>
    <xf numFmtId="1" fontId="44" fillId="0" borderId="42" xfId="1" applyNumberFormat="1" applyBorder="1"/>
    <xf numFmtId="1" fontId="44" fillId="0" borderId="30" xfId="1" applyNumberFormat="1" applyBorder="1"/>
    <xf numFmtId="0" fontId="88" fillId="0" borderId="0" xfId="1" applyFont="1" applyAlignment="1">
      <alignment horizontal="left"/>
    </xf>
    <xf numFmtId="1" fontId="48" fillId="19" borderId="5" xfId="1" applyNumberFormat="1" applyFont="1" applyFill="1" applyBorder="1"/>
    <xf numFmtId="0" fontId="45" fillId="0" borderId="0" xfId="1" applyFont="1" applyFill="1" applyAlignment="1">
      <alignment horizontal="right"/>
    </xf>
    <xf numFmtId="0" fontId="48" fillId="0" borderId="0" xfId="1" applyFont="1" applyFill="1" applyBorder="1" applyAlignment="1">
      <alignment horizontal="center"/>
    </xf>
    <xf numFmtId="3" fontId="84" fillId="0" borderId="0" xfId="1" applyNumberFormat="1" applyFont="1" applyFill="1" applyBorder="1" applyAlignment="1">
      <alignment horizontal="left"/>
    </xf>
    <xf numFmtId="3" fontId="85" fillId="0" borderId="0" xfId="1" applyNumberFormat="1" applyFont="1" applyFill="1" applyBorder="1" applyAlignment="1">
      <alignment horizontal="center"/>
    </xf>
    <xf numFmtId="0" fontId="45" fillId="0" borderId="0" xfId="1" applyFont="1" applyAlignment="1">
      <alignment horizontal="center"/>
    </xf>
    <xf numFmtId="3" fontId="48" fillId="0" borderId="0" xfId="1" applyNumberFormat="1" applyFont="1" applyFill="1" applyBorder="1" applyAlignment="1">
      <alignment horizontal="center"/>
    </xf>
    <xf numFmtId="3" fontId="48" fillId="0" borderId="0" xfId="1" applyNumberFormat="1" applyFont="1" applyFill="1" applyBorder="1" applyAlignment="1">
      <alignment horizontal="right"/>
    </xf>
    <xf numFmtId="3" fontId="49" fillId="0" borderId="0" xfId="1" applyNumberFormat="1" applyFont="1" applyFill="1" applyBorder="1" applyAlignment="1">
      <alignment horizontal="left"/>
    </xf>
    <xf numFmtId="3" fontId="85" fillId="0" borderId="0" xfId="1" applyNumberFormat="1" applyFont="1" applyFill="1" applyBorder="1" applyAlignment="1">
      <alignment horizontal="right"/>
    </xf>
    <xf numFmtId="3" fontId="85" fillId="0" borderId="0" xfId="1" applyNumberFormat="1" applyFont="1" applyFill="1" applyBorder="1"/>
    <xf numFmtId="3" fontId="48" fillId="0" borderId="0" xfId="1" applyNumberFormat="1" applyFont="1" applyFill="1" applyBorder="1" applyAlignment="1"/>
    <xf numFmtId="3" fontId="86" fillId="0" borderId="0" xfId="1" applyNumberFormat="1" applyFont="1" applyFill="1" applyBorder="1"/>
    <xf numFmtId="3" fontId="87" fillId="0" borderId="0" xfId="1" applyNumberFormat="1" applyFont="1" applyFill="1" applyBorder="1" applyAlignment="1">
      <alignment horizontal="center"/>
    </xf>
    <xf numFmtId="3" fontId="70" fillId="0" borderId="0" xfId="1" applyNumberFormat="1" applyFont="1" applyFill="1" applyBorder="1"/>
    <xf numFmtId="3" fontId="45" fillId="0" borderId="0" xfId="1" applyNumberFormat="1" applyFont="1" applyFill="1" applyBorder="1" applyAlignment="1">
      <alignment horizontal="center"/>
    </xf>
    <xf numFmtId="3" fontId="44" fillId="0" borderId="49" xfId="1" applyNumberFormat="1" applyFont="1" applyFill="1" applyBorder="1"/>
    <xf numFmtId="1" fontId="53" fillId="0" borderId="0" xfId="1" applyNumberFormat="1" applyFont="1" applyFill="1" applyBorder="1" applyAlignment="1">
      <alignment horizontal="center"/>
    </xf>
    <xf numFmtId="0" fontId="50" fillId="0" borderId="0" xfId="1" applyFont="1"/>
    <xf numFmtId="1" fontId="50" fillId="0" borderId="0" xfId="1" applyNumberFormat="1" applyFont="1" applyFill="1" applyBorder="1" applyAlignment="1">
      <alignment horizontal="right"/>
    </xf>
    <xf numFmtId="4" fontId="90" fillId="0" borderId="0" xfId="1" applyNumberFormat="1" applyFont="1" applyBorder="1"/>
    <xf numFmtId="0" fontId="91" fillId="0" borderId="4" xfId="0" applyFont="1" applyBorder="1" applyAlignment="1">
      <alignment horizontal="center" vertical="center" wrapText="1"/>
    </xf>
    <xf numFmtId="0" fontId="91" fillId="0" borderId="0" xfId="0" applyFont="1" applyBorder="1" applyAlignment="1">
      <alignment vertical="center" wrapText="1"/>
    </xf>
    <xf numFmtId="0" fontId="40" fillId="7" borderId="4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 wrapText="1"/>
    </xf>
    <xf numFmtId="0" fontId="79" fillId="6" borderId="0" xfId="0" applyFont="1" applyFill="1"/>
    <xf numFmtId="0" fontId="9" fillId="3" borderId="0" xfId="0" applyFont="1" applyFill="1"/>
    <xf numFmtId="0" fontId="9" fillId="2" borderId="47" xfId="0" applyFont="1" applyFill="1" applyBorder="1" applyProtection="1">
      <protection locked="0"/>
    </xf>
    <xf numFmtId="14" fontId="9" fillId="2" borderId="48" xfId="0" applyNumberFormat="1" applyFont="1" applyFill="1" applyBorder="1" applyProtection="1">
      <protection locked="0"/>
    </xf>
    <xf numFmtId="0" fontId="9" fillId="8" borderId="47" xfId="0" applyFont="1" applyFill="1" applyBorder="1" applyProtection="1">
      <protection locked="0"/>
    </xf>
    <xf numFmtId="4" fontId="9" fillId="6" borderId="50" xfId="0" applyNumberFormat="1" applyFont="1" applyFill="1" applyBorder="1" applyProtection="1">
      <protection locked="0"/>
    </xf>
    <xf numFmtId="14" fontId="44" fillId="0" borderId="47" xfId="0" applyNumberFormat="1" applyFont="1" applyBorder="1"/>
    <xf numFmtId="0" fontId="76" fillId="0" borderId="47" xfId="0" applyFont="1" applyBorder="1" applyAlignment="1">
      <alignment wrapText="1"/>
    </xf>
    <xf numFmtId="4" fontId="44" fillId="0" borderId="47" xfId="0" applyNumberFormat="1" applyFont="1" applyBorder="1"/>
    <xf numFmtId="4" fontId="92" fillId="0" borderId="47" xfId="0" applyNumberFormat="1" applyFont="1" applyBorder="1"/>
    <xf numFmtId="0" fontId="9" fillId="3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47" xfId="0" applyFont="1" applyFill="1" applyBorder="1" applyProtection="1">
      <protection locked="0"/>
    </xf>
    <xf numFmtId="14" fontId="44" fillId="0" borderId="47" xfId="0" applyNumberFormat="1" applyFont="1" applyFill="1" applyBorder="1"/>
    <xf numFmtId="0" fontId="76" fillId="0" borderId="47" xfId="0" applyFont="1" applyFill="1" applyBorder="1" applyAlignment="1">
      <alignment wrapText="1"/>
    </xf>
    <xf numFmtId="4" fontId="44" fillId="0" borderId="47" xfId="0" applyNumberFormat="1" applyFont="1" applyFill="1" applyBorder="1"/>
    <xf numFmtId="4" fontId="92" fillId="0" borderId="47" xfId="0" applyNumberFormat="1" applyFont="1" applyFill="1" applyBorder="1"/>
    <xf numFmtId="0" fontId="62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9" fillId="0" borderId="47" xfId="0" applyNumberFormat="1" applyFont="1" applyFill="1" applyBorder="1" applyProtection="1">
      <protection locked="0"/>
    </xf>
    <xf numFmtId="0" fontId="9" fillId="0" borderId="47" xfId="0" applyFont="1" applyFill="1" applyBorder="1"/>
    <xf numFmtId="14" fontId="9" fillId="0" borderId="47" xfId="0" applyNumberFormat="1" applyFont="1" applyFill="1" applyBorder="1"/>
    <xf numFmtId="0" fontId="9" fillId="0" borderId="47" xfId="0" applyFont="1" applyFill="1" applyBorder="1" applyAlignment="1">
      <alignment wrapText="1"/>
    </xf>
    <xf numFmtId="0" fontId="36" fillId="0" borderId="0" xfId="0" applyFont="1" applyFill="1" applyBorder="1" applyAlignment="1">
      <alignment horizontal="center"/>
    </xf>
    <xf numFmtId="0" fontId="64" fillId="2" borderId="47" xfId="0" applyFont="1" applyFill="1" applyBorder="1"/>
    <xf numFmtId="14" fontId="9" fillId="2" borderId="47" xfId="0" applyNumberFormat="1" applyFont="1" applyFill="1" applyBorder="1"/>
    <xf numFmtId="0" fontId="9" fillId="2" borderId="47" xfId="0" applyFont="1" applyFill="1" applyBorder="1"/>
    <xf numFmtId="0" fontId="36" fillId="2" borderId="0" xfId="0" applyFont="1" applyFill="1" applyBorder="1" applyAlignment="1">
      <alignment horizontal="center"/>
    </xf>
    <xf numFmtId="14" fontId="9" fillId="19" borderId="47" xfId="0" applyNumberFormat="1" applyFont="1" applyFill="1" applyBorder="1"/>
    <xf numFmtId="0" fontId="9" fillId="19" borderId="47" xfId="0" applyFont="1" applyFill="1" applyBorder="1"/>
    <xf numFmtId="4" fontId="50" fillId="0" borderId="47" xfId="0" applyNumberFormat="1" applyFont="1" applyBorder="1"/>
    <xf numFmtId="4" fontId="96" fillId="0" borderId="47" xfId="0" applyNumberFormat="1" applyFont="1" applyBorder="1"/>
    <xf numFmtId="0" fontId="9" fillId="8" borderId="0" xfId="0" applyFont="1" applyFill="1"/>
    <xf numFmtId="0" fontId="9" fillId="8" borderId="47" xfId="0" applyFont="1" applyFill="1" applyBorder="1"/>
    <xf numFmtId="14" fontId="9" fillId="8" borderId="47" xfId="0" applyNumberFormat="1" applyFont="1" applyFill="1" applyBorder="1"/>
    <xf numFmtId="0" fontId="36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62" fillId="8" borderId="0" xfId="0" applyFont="1" applyFill="1" applyAlignment="1">
      <alignment horizontal="center"/>
    </xf>
    <xf numFmtId="0" fontId="54" fillId="8" borderId="0" xfId="0" applyFont="1" applyFill="1" applyBorder="1" applyAlignment="1">
      <alignment horizontal="right" vertical="center" wrapText="1"/>
    </xf>
    <xf numFmtId="4" fontId="11" fillId="8" borderId="14" xfId="0" applyNumberFormat="1" applyFont="1" applyFill="1" applyBorder="1" applyProtection="1">
      <protection locked="0"/>
    </xf>
    <xf numFmtId="0" fontId="66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94" fillId="13" borderId="47" xfId="0" applyNumberFormat="1" applyFont="1" applyFill="1" applyBorder="1"/>
    <xf numFmtId="4" fontId="9" fillId="0" borderId="47" xfId="0" applyNumberFormat="1" applyFont="1" applyFill="1" applyBorder="1"/>
    <xf numFmtId="4" fontId="94" fillId="0" borderId="47" xfId="0" applyNumberFormat="1" applyFont="1" applyFill="1" applyBorder="1"/>
    <xf numFmtId="4" fontId="94" fillId="23" borderId="47" xfId="0" applyNumberFormat="1" applyFont="1" applyFill="1" applyBorder="1"/>
    <xf numFmtId="4" fontId="94" fillId="2" borderId="47" xfId="0" applyNumberFormat="1" applyFont="1" applyFill="1" applyBorder="1"/>
    <xf numFmtId="4" fontId="95" fillId="15" borderId="47" xfId="0" applyNumberFormat="1" applyFont="1" applyFill="1" applyBorder="1"/>
    <xf numFmtId="4" fontId="95" fillId="8" borderId="47" xfId="0" applyNumberFormat="1" applyFont="1" applyFill="1" applyBorder="1"/>
    <xf numFmtId="4" fontId="9" fillId="8" borderId="47" xfId="0" applyNumberFormat="1" applyFont="1" applyFill="1" applyBorder="1"/>
    <xf numFmtId="4" fontId="94" fillId="6" borderId="47" xfId="0" applyNumberFormat="1" applyFont="1" applyFill="1" applyBorder="1"/>
    <xf numFmtId="4" fontId="95" fillId="2" borderId="47" xfId="0" applyNumberFormat="1" applyFont="1" applyFill="1" applyBorder="1"/>
    <xf numFmtId="4" fontId="95" fillId="0" borderId="47" xfId="0" applyNumberFormat="1" applyFont="1" applyFill="1" applyBorder="1"/>
    <xf numFmtId="4" fontId="9" fillId="19" borderId="47" xfId="0" applyNumberFormat="1" applyFont="1" applyFill="1" applyBorder="1"/>
    <xf numFmtId="4" fontId="37" fillId="19" borderId="47" xfId="0" applyNumberFormat="1" applyFont="1" applyFill="1" applyBorder="1"/>
    <xf numFmtId="14" fontId="37" fillId="8" borderId="47" xfId="0" applyNumberFormat="1" applyFont="1" applyFill="1" applyBorder="1"/>
    <xf numFmtId="0" fontId="0" fillId="0" borderId="0" xfId="0" applyFont="1"/>
    <xf numFmtId="0" fontId="30" fillId="6" borderId="55" xfId="0" applyFont="1" applyFill="1" applyBorder="1" applyAlignment="1">
      <alignment horizontal="left"/>
    </xf>
    <xf numFmtId="0" fontId="30" fillId="6" borderId="0" xfId="0" applyFont="1" applyFill="1" applyBorder="1"/>
    <xf numFmtId="0" fontId="0" fillId="6" borderId="55" xfId="0" applyFill="1" applyBorder="1" applyAlignment="1">
      <alignment horizontal="left"/>
    </xf>
    <xf numFmtId="0" fontId="0" fillId="6" borderId="0" xfId="0" applyFill="1" applyBorder="1"/>
    <xf numFmtId="0" fontId="8" fillId="8" borderId="47" xfId="0" applyFont="1" applyFill="1" applyBorder="1"/>
    <xf numFmtId="0" fontId="98" fillId="0" borderId="0" xfId="6" applyFont="1"/>
    <xf numFmtId="0" fontId="75" fillId="0" borderId="0" xfId="6"/>
    <xf numFmtId="0" fontId="65" fillId="0" borderId="0" xfId="0" applyFont="1" applyFill="1"/>
    <xf numFmtId="0" fontId="7" fillId="0" borderId="0" xfId="0" applyFont="1" applyFill="1"/>
    <xf numFmtId="0" fontId="7" fillId="0" borderId="47" xfId="0" applyFont="1" applyFill="1" applyBorder="1"/>
    <xf numFmtId="14" fontId="7" fillId="0" borderId="47" xfId="0" applyNumberFormat="1" applyFont="1" applyFill="1" applyBorder="1"/>
    <xf numFmtId="0" fontId="64" fillId="0" borderId="47" xfId="0" applyFont="1" applyFill="1" applyBorder="1"/>
    <xf numFmtId="14" fontId="64" fillId="0" borderId="47" xfId="0" applyNumberFormat="1" applyFont="1" applyFill="1" applyBorder="1"/>
    <xf numFmtId="0" fontId="64" fillId="0" borderId="47" xfId="0" applyFont="1" applyBorder="1" applyAlignment="1">
      <alignment wrapText="1"/>
    </xf>
    <xf numFmtId="14" fontId="7" fillId="8" borderId="47" xfId="0" applyNumberFormat="1" applyFont="1" applyFill="1" applyBorder="1"/>
    <xf numFmtId="0" fontId="7" fillId="8" borderId="47" xfId="0" applyFont="1" applyFill="1" applyBorder="1"/>
    <xf numFmtId="0" fontId="30" fillId="6" borderId="30" xfId="0" applyFont="1" applyFill="1" applyBorder="1"/>
    <xf numFmtId="0" fontId="30" fillId="6" borderId="57" xfId="0" applyFont="1" applyFill="1" applyBorder="1"/>
    <xf numFmtId="0" fontId="30" fillId="6" borderId="58" xfId="0" applyFont="1" applyFill="1" applyBorder="1"/>
    <xf numFmtId="4" fontId="30" fillId="6" borderId="58" xfId="0" applyNumberFormat="1" applyFont="1" applyFill="1" applyBorder="1" applyAlignment="1">
      <alignment horizontal="right"/>
    </xf>
    <xf numFmtId="3" fontId="0" fillId="0" borderId="21" xfId="0" applyNumberFormat="1" applyFill="1" applyBorder="1"/>
    <xf numFmtId="4" fontId="64" fillId="0" borderId="47" xfId="0" applyNumberFormat="1" applyFont="1" applyFill="1" applyBorder="1"/>
    <xf numFmtId="4" fontId="7" fillId="0" borderId="47" xfId="0" applyNumberFormat="1" applyFont="1" applyFill="1" applyBorder="1"/>
    <xf numFmtId="4" fontId="7" fillId="8" borderId="47" xfId="0" applyNumberFormat="1" applyFont="1" applyFill="1" applyBorder="1"/>
    <xf numFmtId="0" fontId="30" fillId="0" borderId="62" xfId="0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79" fillId="0" borderId="0" xfId="0" applyFont="1" applyFill="1"/>
    <xf numFmtId="3" fontId="30" fillId="0" borderId="0" xfId="0" applyNumberFormat="1" applyFont="1" applyFill="1"/>
    <xf numFmtId="3" fontId="30" fillId="6" borderId="0" xfId="0" applyNumberFormat="1" applyFont="1" applyFill="1"/>
    <xf numFmtId="0" fontId="6" fillId="0" borderId="0" xfId="0" applyFont="1" applyFill="1"/>
    <xf numFmtId="0" fontId="6" fillId="0" borderId="23" xfId="0" applyFont="1" applyFill="1" applyBorder="1"/>
    <xf numFmtId="14" fontId="6" fillId="0" borderId="2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6" fillId="0" borderId="63" xfId="0" applyFont="1" applyFill="1" applyBorder="1"/>
    <xf numFmtId="0" fontId="0" fillId="0" borderId="23" xfId="0" applyBorder="1" applyAlignment="1">
      <alignment wrapText="1"/>
    </xf>
    <xf numFmtId="0" fontId="36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2" fillId="0" borderId="23" xfId="0" applyFont="1" applyFill="1" applyBorder="1" applyAlignment="1">
      <alignment horizontal="left"/>
    </xf>
    <xf numFmtId="14" fontId="101" fillId="8" borderId="23" xfId="6" applyNumberFormat="1" applyFont="1" applyFill="1" applyBorder="1"/>
    <xf numFmtId="0" fontId="102" fillId="8" borderId="23" xfId="6" applyFont="1" applyFill="1" applyBorder="1" applyAlignment="1">
      <alignment wrapText="1"/>
    </xf>
    <xf numFmtId="4" fontId="101" fillId="8" borderId="23" xfId="6" applyNumberFormat="1" applyFont="1" applyFill="1" applyBorder="1"/>
    <xf numFmtId="0" fontId="6" fillId="0" borderId="47" xfId="0" applyFont="1" applyFill="1" applyBorder="1" applyAlignment="1">
      <alignment wrapText="1"/>
    </xf>
    <xf numFmtId="0" fontId="0" fillId="0" borderId="64" xfId="0" applyFont="1" applyBorder="1"/>
    <xf numFmtId="4" fontId="65" fillId="8" borderId="3" xfId="0" applyNumberFormat="1" applyFont="1" applyFill="1" applyBorder="1" applyProtection="1">
      <protection locked="0"/>
    </xf>
    <xf numFmtId="4" fontId="0" fillId="8" borderId="0" xfId="0" applyNumberFormat="1" applyFill="1"/>
    <xf numFmtId="0" fontId="62" fillId="0" borderId="0" xfId="0" applyFont="1" applyFill="1" applyBorder="1" applyAlignment="1">
      <alignment horizontal="center"/>
    </xf>
    <xf numFmtId="4" fontId="82" fillId="0" borderId="0" xfId="0" applyNumberFormat="1" applyFont="1"/>
    <xf numFmtId="0" fontId="56" fillId="7" borderId="4" xfId="0" applyFont="1" applyFill="1" applyBorder="1" applyAlignment="1">
      <alignment horizontal="center" vertical="center" wrapText="1"/>
    </xf>
    <xf numFmtId="4" fontId="36" fillId="8" borderId="0" xfId="0" applyNumberFormat="1" applyFont="1" applyFill="1" applyAlignment="1">
      <alignment horizontal="center"/>
    </xf>
    <xf numFmtId="4" fontId="33" fillId="5" borderId="3" xfId="0" applyNumberFormat="1" applyFont="1" applyFill="1" applyBorder="1" applyAlignment="1">
      <alignment horizontal="center" vertical="center"/>
    </xf>
    <xf numFmtId="4" fontId="65" fillId="2" borderId="3" xfId="0" applyNumberFormat="1" applyFont="1" applyFill="1" applyBorder="1"/>
    <xf numFmtId="4" fontId="37" fillId="2" borderId="3" xfId="0" applyNumberFormat="1" applyFont="1" applyFill="1" applyBorder="1"/>
    <xf numFmtId="4" fontId="37" fillId="2" borderId="48" xfId="0" applyNumberFormat="1" applyFont="1" applyFill="1" applyBorder="1"/>
    <xf numFmtId="4" fontId="37" fillId="0" borderId="48" xfId="0" applyNumberFormat="1" applyFont="1" applyFill="1" applyBorder="1"/>
    <xf numFmtId="4" fontId="64" fillId="2" borderId="48" xfId="0" applyNumberFormat="1" applyFont="1" applyFill="1" applyBorder="1"/>
    <xf numFmtId="4" fontId="37" fillId="8" borderId="48" xfId="0" applyNumberFormat="1" applyFont="1" applyFill="1" applyBorder="1"/>
    <xf numFmtId="4" fontId="64" fillId="2" borderId="3" xfId="0" applyNumberFormat="1" applyFont="1" applyFill="1" applyBorder="1"/>
    <xf numFmtId="4" fontId="6" fillId="0" borderId="23" xfId="0" applyNumberFormat="1" applyFont="1" applyFill="1" applyBorder="1"/>
    <xf numFmtId="4" fontId="6" fillId="0" borderId="63" xfId="0" applyNumberFormat="1" applyFont="1" applyFill="1" applyBorder="1"/>
    <xf numFmtId="4" fontId="65" fillId="8" borderId="3" xfId="0" applyNumberFormat="1" applyFont="1" applyFill="1" applyBorder="1"/>
    <xf numFmtId="0" fontId="0" fillId="2" borderId="42" xfId="0" applyFont="1" applyFill="1" applyBorder="1"/>
    <xf numFmtId="0" fontId="0" fillId="2" borderId="30" xfId="0" applyFont="1" applyFill="1" applyBorder="1"/>
    <xf numFmtId="0" fontId="0" fillId="2" borderId="22" xfId="0" applyFill="1" applyBorder="1" applyAlignment="1">
      <alignment horizontal="left"/>
    </xf>
    <xf numFmtId="0" fontId="0" fillId="2" borderId="8" xfId="0" applyFill="1" applyBorder="1"/>
    <xf numFmtId="0" fontId="103" fillId="2" borderId="42" xfId="0" applyFont="1" applyFill="1" applyBorder="1" applyAlignment="1"/>
    <xf numFmtId="0" fontId="30" fillId="2" borderId="30" xfId="0" applyFont="1" applyFill="1" applyBorder="1"/>
    <xf numFmtId="4" fontId="30" fillId="2" borderId="30" xfId="0" applyNumberFormat="1" applyFont="1" applyFill="1" applyBorder="1" applyAlignment="1">
      <alignment horizontal="right"/>
    </xf>
    <xf numFmtId="4" fontId="30" fillId="2" borderId="43" xfId="0" applyNumberFormat="1" applyFont="1" applyFill="1" applyBorder="1" applyAlignment="1">
      <alignment horizontal="right"/>
    </xf>
    <xf numFmtId="0" fontId="103" fillId="2" borderId="55" xfId="0" applyFont="1" applyFill="1" applyBorder="1" applyAlignment="1"/>
    <xf numFmtId="0" fontId="30" fillId="2" borderId="0" xfId="0" applyFont="1" applyFill="1" applyBorder="1"/>
    <xf numFmtId="4" fontId="30" fillId="2" borderId="0" xfId="0" applyNumberFormat="1" applyFont="1" applyFill="1" applyBorder="1" applyAlignment="1">
      <alignment horizontal="right"/>
    </xf>
    <xf numFmtId="4" fontId="30" fillId="2" borderId="44" xfId="0" applyNumberFormat="1" applyFont="1" applyFill="1" applyBorder="1" applyAlignment="1">
      <alignment horizontal="right"/>
    </xf>
    <xf numFmtId="0" fontId="0" fillId="0" borderId="59" xfId="0" applyBorder="1"/>
    <xf numFmtId="3" fontId="0" fillId="0" borderId="59" xfId="0" applyNumberFormat="1" applyFill="1" applyBorder="1"/>
    <xf numFmtId="3" fontId="0" fillId="0" borderId="59" xfId="0" applyNumberFormat="1" applyBorder="1"/>
    <xf numFmtId="0" fontId="0" fillId="0" borderId="6" xfId="0" applyFill="1" applyBorder="1"/>
    <xf numFmtId="4" fontId="44" fillId="0" borderId="0" xfId="1" applyNumberFormat="1"/>
    <xf numFmtId="3" fontId="0" fillId="2" borderId="30" xfId="0" applyNumberFormat="1" applyFont="1" applyFill="1" applyBorder="1" applyAlignment="1">
      <alignment horizontal="right"/>
    </xf>
    <xf numFmtId="3" fontId="0" fillId="2" borderId="51" xfId="0" applyNumberFormat="1" applyFon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30" fillId="6" borderId="0" xfId="0" applyNumberFormat="1" applyFont="1" applyFill="1" applyBorder="1" applyAlignment="1">
      <alignment horizontal="right"/>
    </xf>
    <xf numFmtId="0" fontId="79" fillId="6" borderId="0" xfId="0" applyFont="1" applyFill="1" applyAlignment="1"/>
    <xf numFmtId="3" fontId="7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72" fillId="0" borderId="0" xfId="0" applyNumberFormat="1" applyFont="1" applyFill="1" applyAlignment="1">
      <alignment horizontal="center" vertical="center"/>
    </xf>
    <xf numFmtId="0" fontId="30" fillId="0" borderId="0" xfId="0" applyFont="1" applyFill="1"/>
    <xf numFmtId="0" fontId="64" fillId="0" borderId="0" xfId="0" applyFont="1" applyFill="1"/>
    <xf numFmtId="14" fontId="101" fillId="0" borderId="23" xfId="0" applyNumberFormat="1" applyFont="1" applyBorder="1"/>
    <xf numFmtId="0" fontId="102" fillId="0" borderId="23" xfId="0" applyFont="1" applyBorder="1" applyAlignment="1">
      <alignment wrapText="1"/>
    </xf>
    <xf numFmtId="4" fontId="101" fillId="0" borderId="23" xfId="0" applyNumberFormat="1" applyFont="1" applyBorder="1"/>
    <xf numFmtId="0" fontId="4" fillId="0" borderId="0" xfId="0" applyFont="1" applyFill="1"/>
    <xf numFmtId="0" fontId="11" fillId="0" borderId="0" xfId="0" applyFont="1" applyFill="1"/>
    <xf numFmtId="0" fontId="11" fillId="0" borderId="14" xfId="0" applyFont="1" applyFill="1" applyBorder="1" applyProtection="1">
      <protection locked="0"/>
    </xf>
    <xf numFmtId="14" fontId="11" fillId="0" borderId="14" xfId="0" applyNumberFormat="1" applyFont="1" applyFill="1" applyBorder="1" applyProtection="1">
      <protection locked="0"/>
    </xf>
    <xf numFmtId="0" fontId="65" fillId="0" borderId="3" xfId="0" applyFont="1" applyFill="1" applyBorder="1" applyProtection="1">
      <protection locked="0"/>
    </xf>
    <xf numFmtId="4" fontId="11" fillId="0" borderId="17" xfId="0" applyNumberFormat="1" applyFont="1" applyFill="1" applyBorder="1" applyProtection="1">
      <protection locked="0"/>
    </xf>
    <xf numFmtId="4" fontId="65" fillId="0" borderId="3" xfId="0" applyNumberFormat="1" applyFont="1" applyFill="1" applyBorder="1" applyProtection="1">
      <protection locked="0"/>
    </xf>
    <xf numFmtId="4" fontId="65" fillId="0" borderId="3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right" vertical="center" wrapText="1"/>
    </xf>
    <xf numFmtId="4" fontId="11" fillId="0" borderId="14" xfId="0" applyNumberFormat="1" applyFont="1" applyFill="1" applyBorder="1" applyProtection="1">
      <protection locked="0"/>
    </xf>
    <xf numFmtId="0" fontId="66" fillId="0" borderId="0" xfId="0" applyFont="1" applyFill="1" applyAlignment="1">
      <alignment horizontal="center"/>
    </xf>
    <xf numFmtId="165" fontId="11" fillId="0" borderId="0" xfId="0" applyNumberFormat="1" applyFont="1" applyFill="1" applyBorder="1"/>
    <xf numFmtId="1" fontId="11" fillId="0" borderId="0" xfId="0" applyNumberFormat="1" applyFont="1" applyFill="1" applyBorder="1"/>
    <xf numFmtId="4" fontId="64" fillId="0" borderId="3" xfId="0" applyNumberFormat="1" applyFont="1" applyFill="1" applyBorder="1" applyProtection="1">
      <protection locked="0"/>
    </xf>
    <xf numFmtId="4" fontId="101" fillId="0" borderId="23" xfId="0" applyNumberFormat="1" applyFont="1" applyFill="1" applyBorder="1"/>
    <xf numFmtId="4" fontId="64" fillId="0" borderId="3" xfId="0" applyNumberFormat="1" applyFont="1" applyFill="1" applyBorder="1"/>
    <xf numFmtId="164" fontId="100" fillId="0" borderId="13" xfId="6" applyNumberFormat="1" applyFont="1" applyBorder="1" applyAlignment="1">
      <alignment horizontal="right"/>
    </xf>
    <xf numFmtId="0" fontId="99" fillId="0" borderId="42" xfId="6" applyFont="1" applyBorder="1"/>
    <xf numFmtId="0" fontId="75" fillId="0" borderId="30" xfId="6" applyBorder="1"/>
    <xf numFmtId="0" fontId="75" fillId="0" borderId="51" xfId="6" applyBorder="1"/>
    <xf numFmtId="0" fontId="99" fillId="0" borderId="55" xfId="6" applyFont="1" applyBorder="1"/>
    <xf numFmtId="0" fontId="75" fillId="0" borderId="0" xfId="6" applyBorder="1"/>
    <xf numFmtId="0" fontId="75" fillId="0" borderId="55" xfId="6" applyBorder="1"/>
    <xf numFmtId="164" fontId="75" fillId="0" borderId="18" xfId="6" applyNumberFormat="1" applyBorder="1"/>
    <xf numFmtId="0" fontId="75" fillId="0" borderId="5" xfId="6" applyBorder="1"/>
    <xf numFmtId="0" fontId="100" fillId="0" borderId="6" xfId="6" applyFont="1" applyBorder="1" applyAlignment="1">
      <alignment horizontal="right"/>
    </xf>
    <xf numFmtId="164" fontId="100" fillId="0" borderId="52" xfId="6" applyNumberFormat="1" applyFont="1" applyBorder="1" applyAlignment="1">
      <alignment horizontal="right"/>
    </xf>
    <xf numFmtId="0" fontId="76" fillId="0" borderId="23" xfId="0" applyFont="1" applyBorder="1" applyAlignment="1">
      <alignment wrapText="1"/>
    </xf>
    <xf numFmtId="4" fontId="101" fillId="21" borderId="23" xfId="0" applyNumberFormat="1" applyFont="1" applyFill="1" applyBorder="1"/>
    <xf numFmtId="14" fontId="33" fillId="5" borderId="3" xfId="0" applyNumberFormat="1" applyFont="1" applyFill="1" applyBorder="1" applyAlignment="1">
      <alignment horizontal="center" vertical="center"/>
    </xf>
    <xf numFmtId="14" fontId="29" fillId="3" borderId="0" xfId="0" applyNumberFormat="1" applyFont="1" applyFill="1"/>
    <xf numFmtId="14" fontId="29" fillId="2" borderId="0" xfId="0" applyNumberFormat="1" applyFont="1" applyFill="1"/>
    <xf numFmtId="14" fontId="59" fillId="2" borderId="0" xfId="0" applyNumberFormat="1" applyFont="1" applyFill="1" applyAlignment="1"/>
    <xf numFmtId="14" fontId="33" fillId="2" borderId="0" xfId="0" applyNumberFormat="1" applyFont="1" applyFill="1" applyAlignment="1">
      <alignment horizontal="left"/>
    </xf>
    <xf numFmtId="14" fontId="33" fillId="2" borderId="0" xfId="0" applyNumberFormat="1" applyFont="1" applyFill="1" applyAlignment="1"/>
    <xf numFmtId="0" fontId="3" fillId="2" borderId="23" xfId="0" applyFont="1" applyFill="1" applyBorder="1" applyProtection="1">
      <protection locked="0"/>
    </xf>
    <xf numFmtId="0" fontId="76" fillId="0" borderId="23" xfId="0" applyFont="1" applyBorder="1" applyAlignment="1">
      <alignment horizontal="left" wrapText="1"/>
    </xf>
    <xf numFmtId="4" fontId="75" fillId="0" borderId="0" xfId="6" applyNumberFormat="1"/>
    <xf numFmtId="164" fontId="75" fillId="0" borderId="0" xfId="6" applyNumberFormat="1"/>
    <xf numFmtId="0" fontId="107" fillId="0" borderId="0" xfId="0" applyFont="1"/>
    <xf numFmtId="0" fontId="0" fillId="0" borderId="0" xfId="0" applyFill="1" applyAlignment="1">
      <alignment horizontal="center"/>
    </xf>
    <xf numFmtId="0" fontId="0" fillId="0" borderId="53" xfId="0" applyBorder="1"/>
    <xf numFmtId="4" fontId="30" fillId="2" borderId="65" xfId="0" applyNumberFormat="1" applyFont="1" applyFill="1" applyBorder="1" applyAlignment="1">
      <alignment horizontal="right"/>
    </xf>
    <xf numFmtId="4" fontId="30" fillId="2" borderId="53" xfId="0" applyNumberFormat="1" applyFont="1" applyFill="1" applyBorder="1" applyAlignment="1">
      <alignment horizontal="right"/>
    </xf>
    <xf numFmtId="4" fontId="30" fillId="6" borderId="66" xfId="0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4" fontId="108" fillId="2" borderId="65" xfId="0" applyNumberFormat="1" applyFont="1" applyFill="1" applyBorder="1" applyAlignment="1">
      <alignment horizontal="right"/>
    </xf>
    <xf numFmtId="4" fontId="108" fillId="2" borderId="53" xfId="0" applyNumberFormat="1" applyFont="1" applyFill="1" applyBorder="1" applyAlignment="1">
      <alignment horizontal="right"/>
    </xf>
    <xf numFmtId="4" fontId="108" fillId="6" borderId="66" xfId="0" applyNumberFormat="1" applyFont="1" applyFill="1" applyBorder="1" applyAlignment="1">
      <alignment horizontal="right"/>
    </xf>
    <xf numFmtId="3" fontId="0" fillId="2" borderId="65" xfId="0" applyNumberFormat="1" applyFont="1" applyFill="1" applyBorder="1" applyAlignment="1">
      <alignment horizontal="right"/>
    </xf>
    <xf numFmtId="3" fontId="107" fillId="2" borderId="30" xfId="0" applyNumberFormat="1" applyFont="1" applyFill="1" applyBorder="1" applyAlignment="1">
      <alignment horizontal="right"/>
    </xf>
    <xf numFmtId="3" fontId="107" fillId="2" borderId="65" xfId="0" applyNumberFormat="1" applyFont="1" applyFill="1" applyBorder="1" applyAlignment="1">
      <alignment horizontal="right"/>
    </xf>
    <xf numFmtId="3" fontId="0" fillId="2" borderId="60" xfId="0" applyNumberFormat="1" applyFill="1" applyBorder="1" applyAlignment="1">
      <alignment horizontal="right"/>
    </xf>
    <xf numFmtId="3" fontId="30" fillId="6" borderId="53" xfId="0" applyNumberFormat="1" applyFont="1" applyFill="1" applyBorder="1" applyAlignment="1">
      <alignment horizontal="right"/>
    </xf>
    <xf numFmtId="3" fontId="108" fillId="6" borderId="0" xfId="0" applyNumberFormat="1" applyFont="1" applyFill="1" applyBorder="1" applyAlignment="1">
      <alignment horizontal="right"/>
    </xf>
    <xf numFmtId="3" fontId="108" fillId="6" borderId="53" xfId="0" applyNumberFormat="1" applyFont="1" applyFill="1" applyBorder="1" applyAlignment="1">
      <alignment horizontal="right"/>
    </xf>
    <xf numFmtId="3" fontId="0" fillId="6" borderId="53" xfId="0" applyNumberFormat="1" applyFill="1" applyBorder="1" applyAlignment="1">
      <alignment horizontal="right"/>
    </xf>
    <xf numFmtId="3" fontId="107" fillId="6" borderId="0" xfId="0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center"/>
    </xf>
    <xf numFmtId="3" fontId="30" fillId="0" borderId="0" xfId="0" applyNumberFormat="1" applyFont="1" applyFill="1" applyBorder="1"/>
    <xf numFmtId="3" fontId="30" fillId="6" borderId="0" xfId="0" applyNumberFormat="1" applyFont="1" applyFill="1" applyBorder="1"/>
    <xf numFmtId="0" fontId="102" fillId="0" borderId="23" xfId="0" applyFont="1" applyBorder="1" applyAlignment="1">
      <alignment vertical="center" wrapText="1"/>
    </xf>
    <xf numFmtId="0" fontId="75" fillId="8" borderId="0" xfId="6" applyFill="1"/>
    <xf numFmtId="0" fontId="75" fillId="0" borderId="42" xfId="6" applyBorder="1"/>
    <xf numFmtId="164" fontId="75" fillId="0" borderId="55" xfId="6" applyNumberFormat="1" applyBorder="1"/>
    <xf numFmtId="164" fontId="75" fillId="0" borderId="5" xfId="6" applyNumberFormat="1" applyBorder="1"/>
    <xf numFmtId="164" fontId="75" fillId="0" borderId="6" xfId="6" applyNumberFormat="1" applyBorder="1"/>
    <xf numFmtId="164" fontId="75" fillId="0" borderId="52" xfId="6" applyNumberFormat="1" applyBorder="1"/>
    <xf numFmtId="0" fontId="0" fillId="8" borderId="0" xfId="0" applyFill="1"/>
    <xf numFmtId="0" fontId="2" fillId="0" borderId="0" xfId="14"/>
    <xf numFmtId="0" fontId="31" fillId="11" borderId="67" xfId="14" applyFont="1" applyFill="1" applyBorder="1" applyAlignment="1">
      <alignment horizontal="center"/>
    </xf>
    <xf numFmtId="0" fontId="31" fillId="11" borderId="68" xfId="14" applyFont="1" applyFill="1" applyBorder="1" applyAlignment="1">
      <alignment horizontal="center"/>
    </xf>
    <xf numFmtId="0" fontId="31" fillId="0" borderId="0" xfId="14" applyFont="1" applyAlignment="1">
      <alignment horizontal="center"/>
    </xf>
    <xf numFmtId="0" fontId="31" fillId="11" borderId="69" xfId="14" applyFont="1" applyFill="1" applyBorder="1" applyAlignment="1">
      <alignment horizontal="center"/>
    </xf>
    <xf numFmtId="0" fontId="31" fillId="11" borderId="19" xfId="14" applyFont="1" applyFill="1" applyBorder="1" applyAlignment="1">
      <alignment horizontal="center"/>
    </xf>
    <xf numFmtId="0" fontId="38" fillId="26" borderId="72" xfId="14" applyFont="1" applyFill="1" applyBorder="1" applyAlignment="1">
      <alignment horizontal="center" wrapText="1"/>
    </xf>
    <xf numFmtId="0" fontId="38" fillId="27" borderId="73" xfId="14" applyFont="1" applyFill="1" applyBorder="1" applyAlignment="1">
      <alignment horizontal="center" wrapText="1"/>
    </xf>
    <xf numFmtId="0" fontId="38" fillId="25" borderId="54" xfId="14" applyFont="1" applyFill="1" applyBorder="1" applyAlignment="1">
      <alignment horizontal="center"/>
    </xf>
    <xf numFmtId="0" fontId="38" fillId="0" borderId="0" xfId="14" applyFont="1"/>
    <xf numFmtId="0" fontId="111" fillId="0" borderId="69" xfId="14" applyFont="1" applyBorder="1" applyAlignment="1">
      <alignment wrapText="1"/>
    </xf>
    <xf numFmtId="0" fontId="111" fillId="0" borderId="23" xfId="14" applyFont="1" applyBorder="1" applyAlignment="1">
      <alignment horizontal="center" wrapText="1"/>
    </xf>
    <xf numFmtId="3" fontId="111" fillId="0" borderId="61" xfId="14" applyNumberFormat="1" applyFont="1" applyBorder="1" applyAlignment="1">
      <alignment horizontal="center"/>
    </xf>
    <xf numFmtId="3" fontId="111" fillId="26" borderId="76" xfId="14" applyNumberFormat="1" applyFont="1" applyFill="1" applyBorder="1" applyAlignment="1">
      <alignment horizontal="center"/>
    </xf>
    <xf numFmtId="3" fontId="111" fillId="27" borderId="77" xfId="14" applyNumberFormat="1" applyFont="1" applyFill="1" applyBorder="1" applyAlignment="1">
      <alignment horizontal="center"/>
    </xf>
    <xf numFmtId="9" fontId="111" fillId="0" borderId="77" xfId="14" applyNumberFormat="1" applyFont="1" applyBorder="1" applyAlignment="1">
      <alignment horizontal="center"/>
    </xf>
    <xf numFmtId="0" fontId="111" fillId="0" borderId="0" xfId="14" applyFont="1"/>
    <xf numFmtId="0" fontId="112" fillId="11" borderId="69" xfId="14" applyFont="1" applyFill="1" applyBorder="1" applyAlignment="1">
      <alignment wrapText="1"/>
    </xf>
    <xf numFmtId="0" fontId="112" fillId="11" borderId="23" xfId="14" applyFont="1" applyFill="1" applyBorder="1" applyAlignment="1">
      <alignment horizontal="center"/>
    </xf>
    <xf numFmtId="3" fontId="112" fillId="11" borderId="23" xfId="14" applyNumberFormat="1" applyFont="1" applyFill="1" applyBorder="1" applyAlignment="1">
      <alignment horizontal="center"/>
    </xf>
    <xf numFmtId="9" fontId="112" fillId="11" borderId="61" xfId="14" applyNumberFormat="1" applyFont="1" applyFill="1" applyBorder="1" applyAlignment="1">
      <alignment horizontal="center"/>
    </xf>
    <xf numFmtId="0" fontId="111" fillId="26" borderId="76" xfId="14" applyFont="1" applyFill="1" applyBorder="1" applyAlignment="1">
      <alignment horizontal="center"/>
    </xf>
    <xf numFmtId="0" fontId="111" fillId="27" borderId="77" xfId="14" applyFont="1" applyFill="1" applyBorder="1" applyAlignment="1">
      <alignment horizontal="center"/>
    </xf>
    <xf numFmtId="0" fontId="111" fillId="0" borderId="69" xfId="14" applyFont="1" applyBorder="1"/>
    <xf numFmtId="0" fontId="111" fillId="0" borderId="23" xfId="14" applyFont="1" applyBorder="1" applyAlignment="1">
      <alignment horizontal="center"/>
    </xf>
    <xf numFmtId="0" fontId="111" fillId="0" borderId="48" xfId="14" applyFont="1" applyBorder="1" applyAlignment="1">
      <alignment horizontal="center"/>
    </xf>
    <xf numFmtId="0" fontId="2" fillId="0" borderId="70" xfId="14" applyBorder="1"/>
    <xf numFmtId="0" fontId="2" fillId="0" borderId="78" xfId="14" applyBorder="1"/>
    <xf numFmtId="3" fontId="111" fillId="0" borderId="48" xfId="14" applyNumberFormat="1" applyFont="1" applyBorder="1" applyAlignment="1">
      <alignment horizontal="center"/>
    </xf>
    <xf numFmtId="0" fontId="2" fillId="0" borderId="69" xfId="14" applyBorder="1"/>
    <xf numFmtId="0" fontId="2" fillId="0" borderId="19" xfId="14" applyBorder="1"/>
    <xf numFmtId="0" fontId="38" fillId="11" borderId="69" xfId="14" applyFont="1" applyFill="1" applyBorder="1" applyAlignment="1">
      <alignment wrapText="1"/>
    </xf>
    <xf numFmtId="0" fontId="111" fillId="11" borderId="23" xfId="14" applyFont="1" applyFill="1" applyBorder="1" applyAlignment="1">
      <alignment horizontal="center"/>
    </xf>
    <xf numFmtId="0" fontId="111" fillId="11" borderId="48" xfId="14" applyFont="1" applyFill="1" applyBorder="1" applyAlignment="1">
      <alignment horizontal="center"/>
    </xf>
    <xf numFmtId="0" fontId="2" fillId="0" borderId="74" xfId="14" applyBorder="1"/>
    <xf numFmtId="0" fontId="2" fillId="0" borderId="75" xfId="14" applyBorder="1"/>
    <xf numFmtId="0" fontId="111" fillId="14" borderId="69" xfId="14" applyFont="1" applyFill="1" applyBorder="1" applyAlignment="1">
      <alignment wrapText="1"/>
    </xf>
    <xf numFmtId="0" fontId="111" fillId="14" borderId="23" xfId="14" applyFont="1" applyFill="1" applyBorder="1" applyAlignment="1">
      <alignment horizontal="center"/>
    </xf>
    <xf numFmtId="3" fontId="111" fillId="14" borderId="23" xfId="14" applyNumberFormat="1" applyFont="1" applyFill="1" applyBorder="1" applyAlignment="1">
      <alignment horizontal="center"/>
    </xf>
    <xf numFmtId="9" fontId="111" fillId="14" borderId="48" xfId="14" applyNumberFormat="1" applyFont="1" applyFill="1" applyBorder="1" applyAlignment="1">
      <alignment horizontal="center"/>
    </xf>
    <xf numFmtId="0" fontId="113" fillId="14" borderId="67" xfId="14" applyFont="1" applyFill="1" applyBorder="1"/>
    <xf numFmtId="0" fontId="114" fillId="14" borderId="68" xfId="14" applyFont="1" applyFill="1" applyBorder="1"/>
    <xf numFmtId="0" fontId="2" fillId="14" borderId="69" xfId="14" applyFill="1" applyBorder="1"/>
    <xf numFmtId="0" fontId="2" fillId="14" borderId="19" xfId="14" applyFill="1" applyBorder="1"/>
    <xf numFmtId="0" fontId="113" fillId="14" borderId="69" xfId="14" applyFont="1" applyFill="1" applyBorder="1"/>
    <xf numFmtId="4" fontId="114" fillId="14" borderId="19" xfId="14" applyNumberFormat="1" applyFont="1" applyFill="1" applyBorder="1"/>
    <xf numFmtId="3" fontId="113" fillId="14" borderId="69" xfId="14" applyNumberFormat="1" applyFont="1" applyFill="1" applyBorder="1"/>
    <xf numFmtId="0" fontId="31" fillId="0" borderId="0" xfId="14" applyFont="1"/>
    <xf numFmtId="0" fontId="2" fillId="29" borderId="67" xfId="14" applyFill="1" applyBorder="1"/>
    <xf numFmtId="0" fontId="2" fillId="29" borderId="68" xfId="14" applyFill="1" applyBorder="1"/>
    <xf numFmtId="0" fontId="38" fillId="0" borderId="70" xfId="14" applyFont="1" applyBorder="1" applyAlignment="1">
      <alignment horizontal="center" wrapText="1"/>
    </xf>
    <xf numFmtId="0" fontId="38" fillId="0" borderId="71" xfId="14" applyFont="1" applyBorder="1" applyAlignment="1"/>
    <xf numFmtId="0" fontId="38" fillId="0" borderId="60" xfId="14" applyFont="1" applyBorder="1" applyAlignment="1"/>
    <xf numFmtId="0" fontId="38" fillId="0" borderId="0" xfId="14" applyFont="1" applyAlignment="1"/>
    <xf numFmtId="0" fontId="38" fillId="0" borderId="69" xfId="14" applyFont="1" applyBorder="1" applyAlignment="1"/>
    <xf numFmtId="0" fontId="38" fillId="0" borderId="23" xfId="14" applyFont="1" applyBorder="1" applyAlignment="1"/>
    <xf numFmtId="0" fontId="38" fillId="0" borderId="48" xfId="14" applyFont="1" applyBorder="1" applyAlignment="1"/>
    <xf numFmtId="0" fontId="111" fillId="0" borderId="23" xfId="14" applyFont="1" applyBorder="1" applyAlignment="1">
      <alignment wrapText="1"/>
    </xf>
    <xf numFmtId="3" fontId="111" fillId="0" borderId="23" xfId="14" applyNumberFormat="1" applyFont="1" applyBorder="1" applyAlignment="1"/>
    <xf numFmtId="3" fontId="111" fillId="0" borderId="48" xfId="14" applyNumberFormat="1" applyFont="1" applyBorder="1" applyAlignment="1"/>
    <xf numFmtId="9" fontId="111" fillId="0" borderId="48" xfId="14" applyNumberFormat="1" applyFont="1" applyBorder="1" applyAlignment="1"/>
    <xf numFmtId="0" fontId="111" fillId="0" borderId="0" xfId="14" applyFont="1" applyAlignment="1"/>
    <xf numFmtId="0" fontId="111" fillId="0" borderId="23" xfId="14" applyFont="1" applyBorder="1" applyAlignment="1"/>
    <xf numFmtId="0" fontId="111" fillId="0" borderId="48" xfId="14" applyFont="1" applyBorder="1" applyAlignment="1"/>
    <xf numFmtId="0" fontId="31" fillId="0" borderId="74" xfId="14" applyFont="1" applyBorder="1"/>
    <xf numFmtId="0" fontId="31" fillId="0" borderId="75" xfId="14" applyFont="1" applyBorder="1"/>
    <xf numFmtId="0" fontId="31" fillId="0" borderId="67" xfId="14" applyFont="1" applyBorder="1"/>
    <xf numFmtId="0" fontId="31" fillId="0" borderId="68" xfId="14" applyFont="1" applyBorder="1"/>
    <xf numFmtId="0" fontId="38" fillId="0" borderId="69" xfId="14" applyFont="1" applyBorder="1" applyAlignment="1">
      <alignment wrapText="1"/>
    </xf>
    <xf numFmtId="3" fontId="38" fillId="0" borderId="23" xfId="14" applyNumberFormat="1" applyFont="1" applyBorder="1" applyAlignment="1"/>
    <xf numFmtId="3" fontId="38" fillId="0" borderId="48" xfId="14" applyNumberFormat="1" applyFont="1" applyBorder="1" applyAlignment="1"/>
    <xf numFmtId="9" fontId="38" fillId="0" borderId="48" xfId="14" applyNumberFormat="1" applyFont="1" applyBorder="1" applyAlignment="1"/>
    <xf numFmtId="0" fontId="31" fillId="0" borderId="69" xfId="14" applyFont="1" applyBorder="1"/>
    <xf numFmtId="0" fontId="31" fillId="0" borderId="19" xfId="14" applyFont="1" applyBorder="1"/>
    <xf numFmtId="0" fontId="31" fillId="0" borderId="0" xfId="14" applyFont="1" applyAlignment="1">
      <alignment vertical="center"/>
    </xf>
    <xf numFmtId="0" fontId="40" fillId="0" borderId="0" xfId="14" applyFont="1" applyAlignment="1">
      <alignment vertical="center"/>
    </xf>
    <xf numFmtId="0" fontId="31" fillId="0" borderId="42" xfId="14" applyFont="1" applyBorder="1"/>
    <xf numFmtId="0" fontId="31" fillId="0" borderId="30" xfId="14" applyFont="1" applyBorder="1"/>
    <xf numFmtId="0" fontId="31" fillId="0" borderId="51" xfId="14" applyFont="1" applyBorder="1"/>
    <xf numFmtId="0" fontId="31" fillId="0" borderId="5" xfId="14" applyFont="1" applyBorder="1"/>
    <xf numFmtId="0" fontId="31" fillId="0" borderId="6" xfId="14" applyFont="1" applyBorder="1"/>
    <xf numFmtId="0" fontId="31" fillId="0" borderId="52" xfId="14" applyFont="1" applyBorder="1"/>
    <xf numFmtId="0" fontId="114" fillId="0" borderId="0" xfId="14" applyFont="1"/>
    <xf numFmtId="0" fontId="115" fillId="0" borderId="0" xfId="14" applyFont="1" applyAlignment="1">
      <alignment vertical="center"/>
    </xf>
    <xf numFmtId="0" fontId="116" fillId="0" borderId="0" xfId="14" applyFont="1" applyAlignment="1">
      <alignment horizontal="justify" vertical="center"/>
    </xf>
    <xf numFmtId="0" fontId="117" fillId="0" borderId="0" xfId="14" applyFont="1"/>
    <xf numFmtId="0" fontId="111" fillId="8" borderId="69" xfId="14" applyFont="1" applyFill="1" applyBorder="1" applyAlignment="1">
      <alignment wrapText="1"/>
    </xf>
    <xf numFmtId="0" fontId="111" fillId="8" borderId="23" xfId="14" applyFont="1" applyFill="1" applyBorder="1" applyAlignment="1">
      <alignment horizontal="center" wrapText="1"/>
    </xf>
    <xf numFmtId="3" fontId="111" fillId="8" borderId="48" xfId="14" applyNumberFormat="1" applyFont="1" applyFill="1" applyBorder="1" applyAlignment="1">
      <alignment horizontal="center"/>
    </xf>
    <xf numFmtId="3" fontId="2" fillId="0" borderId="0" xfId="14" applyNumberFormat="1"/>
    <xf numFmtId="0" fontId="111" fillId="13" borderId="69" xfId="14" applyFont="1" applyFill="1" applyBorder="1" applyAlignment="1">
      <alignment wrapText="1"/>
    </xf>
    <xf numFmtId="0" fontId="111" fillId="13" borderId="23" xfId="14" applyFont="1" applyFill="1" applyBorder="1" applyAlignment="1">
      <alignment horizontal="center" wrapText="1"/>
    </xf>
    <xf numFmtId="3" fontId="111" fillId="13" borderId="48" xfId="14" applyNumberFormat="1" applyFont="1" applyFill="1" applyBorder="1" applyAlignment="1">
      <alignment horizontal="center"/>
    </xf>
    <xf numFmtId="3" fontId="111" fillId="13" borderId="76" xfId="14" applyNumberFormat="1" applyFont="1" applyFill="1" applyBorder="1" applyAlignment="1">
      <alignment horizontal="center"/>
    </xf>
    <xf numFmtId="3" fontId="2" fillId="13" borderId="0" xfId="14" applyNumberFormat="1" applyFill="1"/>
    <xf numFmtId="3" fontId="2" fillId="13" borderId="59" xfId="14" applyNumberFormat="1" applyFill="1" applyBorder="1"/>
    <xf numFmtId="3" fontId="2" fillId="0" borderId="59" xfId="14" applyNumberFormat="1" applyBorder="1"/>
    <xf numFmtId="3" fontId="2" fillId="21" borderId="0" xfId="14" applyNumberFormat="1" applyFill="1"/>
    <xf numFmtId="3" fontId="2" fillId="8" borderId="0" xfId="14" applyNumberFormat="1" applyFill="1"/>
    <xf numFmtId="0" fontId="111" fillId="0" borderId="69" xfId="14" applyFont="1" applyFill="1" applyBorder="1" applyAlignment="1">
      <alignment wrapText="1"/>
    </xf>
    <xf numFmtId="0" fontId="111" fillId="0" borderId="23" xfId="14" applyFont="1" applyFill="1" applyBorder="1" applyAlignment="1">
      <alignment horizontal="center" wrapText="1"/>
    </xf>
    <xf numFmtId="3" fontId="111" fillId="0" borderId="48" xfId="14" applyNumberFormat="1" applyFont="1" applyFill="1" applyBorder="1" applyAlignment="1">
      <alignment horizontal="center"/>
    </xf>
    <xf numFmtId="0" fontId="58" fillId="0" borderId="69" xfId="14" applyFont="1" applyBorder="1" applyAlignment="1">
      <alignment wrapText="1"/>
    </xf>
    <xf numFmtId="0" fontId="58" fillId="0" borderId="23" xfId="14" applyFont="1" applyBorder="1" applyAlignment="1">
      <alignment horizontal="center" wrapText="1"/>
    </xf>
    <xf numFmtId="3" fontId="58" fillId="0" borderId="48" xfId="14" applyNumberFormat="1" applyFont="1" applyBorder="1" applyAlignment="1">
      <alignment horizontal="center"/>
    </xf>
    <xf numFmtId="0" fontId="118" fillId="25" borderId="79" xfId="14" applyFont="1" applyFill="1" applyBorder="1" applyAlignment="1">
      <alignment wrapText="1"/>
    </xf>
    <xf numFmtId="0" fontId="118" fillId="25" borderId="20" xfId="14" applyFont="1" applyFill="1" applyBorder="1" applyAlignment="1">
      <alignment horizontal="center"/>
    </xf>
    <xf numFmtId="3" fontId="118" fillId="25" borderId="80" xfId="14" applyNumberFormat="1" applyFont="1" applyFill="1" applyBorder="1" applyAlignment="1">
      <alignment horizontal="center"/>
    </xf>
    <xf numFmtId="3" fontId="118" fillId="25" borderId="20" xfId="14" applyNumberFormat="1" applyFont="1" applyFill="1" applyBorder="1" applyAlignment="1">
      <alignment horizontal="center"/>
    </xf>
    <xf numFmtId="3" fontId="118" fillId="26" borderId="81" xfId="14" applyNumberFormat="1" applyFont="1" applyFill="1" applyBorder="1" applyAlignment="1">
      <alignment horizontal="center"/>
    </xf>
    <xf numFmtId="3" fontId="118" fillId="27" borderId="82" xfId="14" applyNumberFormat="1" applyFont="1" applyFill="1" applyBorder="1" applyAlignment="1">
      <alignment horizontal="center"/>
    </xf>
    <xf numFmtId="3" fontId="118" fillId="25" borderId="82" xfId="14" applyNumberFormat="1" applyFont="1" applyFill="1" applyBorder="1" applyAlignment="1">
      <alignment horizontal="center"/>
    </xf>
    <xf numFmtId="3" fontId="118" fillId="0" borderId="0" xfId="14" applyNumberFormat="1" applyFont="1"/>
    <xf numFmtId="3" fontId="118" fillId="25" borderId="79" xfId="14" applyNumberFormat="1" applyFont="1" applyFill="1" applyBorder="1"/>
    <xf numFmtId="3" fontId="109" fillId="14" borderId="79" xfId="14" applyNumberFormat="1" applyFont="1" applyFill="1" applyBorder="1"/>
    <xf numFmtId="3" fontId="109" fillId="14" borderId="83" xfId="14" applyNumberFormat="1" applyFont="1" applyFill="1" applyBorder="1"/>
    <xf numFmtId="9" fontId="111" fillId="0" borderId="77" xfId="13" applyFont="1" applyBorder="1" applyAlignment="1">
      <alignment horizontal="center"/>
    </xf>
    <xf numFmtId="0" fontId="2" fillId="0" borderId="0" xfId="14" applyAlignment="1">
      <alignment horizontal="center"/>
    </xf>
    <xf numFmtId="9" fontId="2" fillId="0" borderId="0" xfId="14" applyNumberFormat="1" applyAlignment="1">
      <alignment horizontal="center"/>
    </xf>
    <xf numFmtId="3" fontId="2" fillId="6" borderId="0" xfId="14" applyNumberFormat="1" applyFill="1"/>
    <xf numFmtId="3" fontId="2" fillId="0" borderId="6" xfId="14" applyNumberFormat="1" applyBorder="1"/>
    <xf numFmtId="0" fontId="58" fillId="0" borderId="61" xfId="14" applyFont="1" applyBorder="1" applyAlignment="1">
      <alignment horizontal="center"/>
    </xf>
    <xf numFmtId="0" fontId="111" fillId="13" borderId="69" xfId="14" applyFont="1" applyFill="1" applyBorder="1" applyAlignment="1">
      <alignment horizontal="center" wrapText="1"/>
    </xf>
    <xf numFmtId="3" fontId="114" fillId="14" borderId="19" xfId="14" applyNumberFormat="1" applyFont="1" applyFill="1" applyBorder="1"/>
    <xf numFmtId="0" fontId="118" fillId="25" borderId="20" xfId="14" applyFont="1" applyFill="1" applyBorder="1" applyAlignment="1"/>
    <xf numFmtId="3" fontId="118" fillId="25" borderId="20" xfId="14" applyNumberFormat="1" applyFont="1" applyFill="1" applyBorder="1" applyAlignment="1"/>
    <xf numFmtId="3" fontId="118" fillId="25" borderId="80" xfId="14" applyNumberFormat="1" applyFont="1" applyFill="1" applyBorder="1" applyAlignment="1"/>
    <xf numFmtId="9" fontId="118" fillId="25" borderId="80" xfId="14" applyNumberFormat="1" applyFont="1" applyFill="1" applyBorder="1" applyAlignment="1"/>
    <xf numFmtId="0" fontId="118" fillId="0" borderId="0" xfId="14" applyFont="1" applyAlignment="1"/>
    <xf numFmtId="0" fontId="110" fillId="25" borderId="79" xfId="14" applyFont="1" applyFill="1" applyBorder="1"/>
    <xf numFmtId="0" fontId="110" fillId="25" borderId="83" xfId="14" applyFont="1" applyFill="1" applyBorder="1"/>
    <xf numFmtId="0" fontId="118" fillId="25" borderId="70" xfId="14" applyFont="1" applyFill="1" applyBorder="1" applyAlignment="1">
      <alignment horizontal="center" wrapText="1"/>
    </xf>
    <xf numFmtId="0" fontId="118" fillId="25" borderId="71" xfId="14" applyFont="1" applyFill="1" applyBorder="1" applyAlignment="1">
      <alignment horizontal="center" wrapText="1"/>
    </xf>
    <xf numFmtId="0" fontId="118" fillId="25" borderId="60" xfId="14" applyFont="1" applyFill="1" applyBorder="1" applyAlignment="1">
      <alignment horizontal="center" wrapText="1"/>
    </xf>
    <xf numFmtId="0" fontId="110" fillId="25" borderId="74" xfId="14" applyFont="1" applyFill="1" applyBorder="1"/>
    <xf numFmtId="0" fontId="110" fillId="25" borderId="75" xfId="14" applyFont="1" applyFill="1" applyBorder="1"/>
    <xf numFmtId="0" fontId="38" fillId="2" borderId="70" xfId="14" applyFont="1" applyFill="1" applyBorder="1" applyAlignment="1">
      <alignment horizontal="center"/>
    </xf>
    <xf numFmtId="0" fontId="38" fillId="2" borderId="71" xfId="14" applyFont="1" applyFill="1" applyBorder="1" applyAlignment="1">
      <alignment horizontal="center" wrapText="1"/>
    </xf>
    <xf numFmtId="0" fontId="38" fillId="2" borderId="60" xfId="14" applyFont="1" applyFill="1" applyBorder="1" applyAlignment="1">
      <alignment horizontal="center" wrapText="1"/>
    </xf>
    <xf numFmtId="0" fontId="119" fillId="0" borderId="0" xfId="0" applyFont="1"/>
    <xf numFmtId="0" fontId="111" fillId="0" borderId="69" xfId="14" applyFont="1" applyBorder="1" applyAlignment="1">
      <alignment horizontal="left" wrapText="1"/>
    </xf>
    <xf numFmtId="0" fontId="111" fillId="0" borderId="69" xfId="14" applyFont="1" applyFill="1" applyBorder="1" applyAlignment="1">
      <alignment horizontal="left" wrapText="1"/>
    </xf>
    <xf numFmtId="0" fontId="72" fillId="0" borderId="0" xfId="0" applyFont="1"/>
    <xf numFmtId="0" fontId="9" fillId="0" borderId="23" xfId="0" applyFont="1" applyFill="1" applyBorder="1"/>
    <xf numFmtId="0" fontId="121" fillId="0" borderId="0" xfId="0" applyFont="1"/>
    <xf numFmtId="0" fontId="121" fillId="0" borderId="0" xfId="0" applyFont="1" applyFill="1"/>
    <xf numFmtId="0" fontId="122" fillId="0" borderId="0" xfId="0" applyFont="1"/>
    <xf numFmtId="4" fontId="0" fillId="0" borderId="0" xfId="0" applyNumberFormat="1" applyFill="1"/>
    <xf numFmtId="0" fontId="46" fillId="0" borderId="0" xfId="1" applyFont="1" applyBorder="1" applyAlignment="1">
      <alignment horizontal="center" vertical="center"/>
    </xf>
    <xf numFmtId="0" fontId="47" fillId="0" borderId="88" xfId="1" applyFont="1" applyBorder="1" applyAlignment="1">
      <alignment horizontal="left" vertical="center" wrapText="1"/>
    </xf>
    <xf numFmtId="0" fontId="125" fillId="2" borderId="0" xfId="1" applyFont="1" applyFill="1" applyAlignment="1">
      <alignment wrapText="1"/>
    </xf>
    <xf numFmtId="0" fontId="44" fillId="0" borderId="89" xfId="1" applyFont="1" applyBorder="1" applyAlignment="1">
      <alignment horizontal="left"/>
    </xf>
    <xf numFmtId="0" fontId="44" fillId="2" borderId="88" xfId="1" applyFont="1" applyFill="1" applyBorder="1"/>
    <xf numFmtId="0" fontId="126" fillId="2" borderId="91" xfId="1" applyFont="1" applyFill="1" applyBorder="1" applyAlignment="1">
      <alignment horizontal="left" vertical="top" wrapText="1"/>
    </xf>
    <xf numFmtId="0" fontId="44" fillId="0" borderId="0" xfId="1" applyFont="1" applyBorder="1"/>
    <xf numFmtId="0" fontId="44" fillId="2" borderId="93" xfId="1" applyFont="1" applyFill="1" applyBorder="1" applyAlignment="1">
      <alignment wrapText="1"/>
    </xf>
    <xf numFmtId="0" fontId="44" fillId="2" borderId="94" xfId="1" applyFont="1" applyFill="1" applyBorder="1" applyAlignment="1">
      <alignment wrapText="1"/>
    </xf>
    <xf numFmtId="0" fontId="44" fillId="0" borderId="88" xfId="1" applyFont="1" applyBorder="1"/>
    <xf numFmtId="0" fontId="44" fillId="2" borderId="90" xfId="1" applyFont="1" applyFill="1" applyBorder="1"/>
    <xf numFmtId="0" fontId="44" fillId="0" borderId="92" xfId="1" applyFont="1" applyBorder="1"/>
    <xf numFmtId="0" fontId="44" fillId="2" borderId="93" xfId="1" applyFont="1" applyFill="1" applyBorder="1"/>
    <xf numFmtId="0" fontId="44" fillId="2" borderId="0" xfId="1" applyFont="1" applyFill="1"/>
    <xf numFmtId="0" fontId="44" fillId="0" borderId="88" xfId="1" applyFont="1" applyBorder="1" applyAlignment="1">
      <alignment wrapText="1"/>
    </xf>
    <xf numFmtId="43" fontId="44" fillId="0" borderId="0" xfId="15"/>
    <xf numFmtId="0" fontId="44" fillId="0" borderId="89" xfId="1" applyFont="1" applyFill="1" applyBorder="1" applyAlignment="1">
      <alignment horizontal="left"/>
    </xf>
    <xf numFmtId="0" fontId="44" fillId="0" borderId="93" xfId="1" applyFont="1" applyBorder="1" applyAlignment="1">
      <alignment wrapText="1"/>
    </xf>
    <xf numFmtId="0" fontId="44" fillId="0" borderId="93" xfId="1" applyFont="1" applyBorder="1" applyAlignment="1">
      <alignment horizontal="justify" vertical="center"/>
    </xf>
    <xf numFmtId="0" fontId="44" fillId="0" borderId="93" xfId="1" applyFont="1" applyBorder="1"/>
    <xf numFmtId="0" fontId="44" fillId="0" borderId="88" xfId="1" applyFont="1" applyFill="1" applyBorder="1" applyAlignment="1">
      <alignment horizontal="left"/>
    </xf>
    <xf numFmtId="0" fontId="44" fillId="0" borderId="95" xfId="1" applyFont="1" applyBorder="1"/>
    <xf numFmtId="0" fontId="44" fillId="0" borderId="90" xfId="1" applyFont="1" applyFill="1" applyBorder="1" applyAlignment="1">
      <alignment horizontal="left" wrapText="1"/>
    </xf>
    <xf numFmtId="0" fontId="126" fillId="2" borderId="0" xfId="1" applyFont="1" applyFill="1" applyBorder="1" applyAlignment="1">
      <alignment horizontal="left" vertical="top" wrapText="1"/>
    </xf>
    <xf numFmtId="0" fontId="44" fillId="2" borderId="0" xfId="1" applyFont="1" applyFill="1" applyBorder="1" applyAlignment="1">
      <alignment wrapText="1"/>
    </xf>
    <xf numFmtId="0" fontId="44" fillId="2" borderId="0" xfId="1" applyFont="1" applyFill="1" applyBorder="1"/>
    <xf numFmtId="0" fontId="44" fillId="0" borderId="92" xfId="1" applyFont="1" applyBorder="1" applyAlignment="1">
      <alignment wrapText="1"/>
    </xf>
    <xf numFmtId="0" fontId="44" fillId="0" borderId="0" xfId="1" applyFont="1" applyBorder="1" applyAlignment="1">
      <alignment wrapText="1"/>
    </xf>
    <xf numFmtId="0" fontId="44" fillId="0" borderId="0" xfId="1" applyFont="1" applyBorder="1" applyAlignment="1">
      <alignment horizontal="justify" vertical="center"/>
    </xf>
    <xf numFmtId="0" fontId="46" fillId="12" borderId="88" xfId="1" applyFont="1" applyFill="1" applyBorder="1" applyAlignment="1">
      <alignment horizontal="center" vertical="center"/>
    </xf>
    <xf numFmtId="4" fontId="48" fillId="12" borderId="88" xfId="1" applyNumberFormat="1" applyFont="1" applyFill="1" applyBorder="1" applyAlignment="1">
      <alignment horizontal="center" vertical="center"/>
    </xf>
    <xf numFmtId="4" fontId="125" fillId="2" borderId="0" xfId="1" applyNumberFormat="1" applyFont="1" applyFill="1" applyAlignment="1">
      <alignment wrapText="1"/>
    </xf>
    <xf numFmtId="4" fontId="44" fillId="2" borderId="88" xfId="1" applyNumberFormat="1" applyFont="1" applyFill="1" applyBorder="1" applyAlignment="1">
      <alignment horizontal="right"/>
    </xf>
    <xf numFmtId="4" fontId="44" fillId="2" borderId="88" xfId="1" applyNumberFormat="1" applyFont="1" applyFill="1" applyBorder="1"/>
    <xf numFmtId="4" fontId="126" fillId="2" borderId="0" xfId="1" applyNumberFormat="1" applyFont="1" applyFill="1" applyBorder="1" applyAlignment="1">
      <alignment horizontal="left" vertical="top" wrapText="1"/>
    </xf>
    <xf numFmtId="4" fontId="44" fillId="2" borderId="92" xfId="1" applyNumberFormat="1" applyFont="1" applyFill="1" applyBorder="1" applyAlignment="1">
      <alignment horizontal="right"/>
    </xf>
    <xf numFmtId="4" fontId="44" fillId="2" borderId="0" xfId="1" applyNumberFormat="1" applyFont="1" applyFill="1" applyBorder="1" applyAlignment="1">
      <alignment wrapText="1"/>
    </xf>
    <xf numFmtId="4" fontId="44" fillId="2" borderId="94" xfId="1" applyNumberFormat="1" applyFont="1" applyFill="1" applyBorder="1" applyAlignment="1">
      <alignment wrapText="1"/>
    </xf>
    <xf numFmtId="4" fontId="44" fillId="2" borderId="90" xfId="1" applyNumberFormat="1" applyFont="1" applyFill="1" applyBorder="1"/>
    <xf numFmtId="4" fontId="44" fillId="2" borderId="0" xfId="1" applyNumberFormat="1" applyFont="1" applyFill="1" applyBorder="1"/>
    <xf numFmtId="4" fontId="44" fillId="2" borderId="0" xfId="1" applyNumberFormat="1" applyFont="1" applyFill="1"/>
    <xf numFmtId="4" fontId="44" fillId="0" borderId="88" xfId="1" applyNumberFormat="1" applyFont="1" applyBorder="1"/>
    <xf numFmtId="4" fontId="44" fillId="0" borderId="88" xfId="1" applyNumberFormat="1" applyFont="1" applyBorder="1" applyAlignment="1">
      <alignment horizontal="right"/>
    </xf>
    <xf numFmtId="4" fontId="44" fillId="0" borderId="92" xfId="1" applyNumberFormat="1" applyFont="1" applyBorder="1" applyAlignment="1">
      <alignment wrapText="1"/>
    </xf>
    <xf numFmtId="4" fontId="44" fillId="0" borderId="0" xfId="1" applyNumberFormat="1" applyFont="1" applyBorder="1" applyAlignment="1">
      <alignment wrapText="1"/>
    </xf>
    <xf numFmtId="4" fontId="44" fillId="0" borderId="92" xfId="1" applyNumberFormat="1" applyFont="1" applyBorder="1" applyAlignment="1">
      <alignment horizontal="right"/>
    </xf>
    <xf numFmtId="4" fontId="44" fillId="0" borderId="0" xfId="1" applyNumberFormat="1" applyFont="1" applyBorder="1" applyAlignment="1">
      <alignment horizontal="justify" vertical="center"/>
    </xf>
    <xf numFmtId="4" fontId="44" fillId="0" borderId="0" xfId="1" applyNumberFormat="1" applyFont="1" applyBorder="1"/>
    <xf numFmtId="4" fontId="44" fillId="0" borderId="88" xfId="1" applyNumberFormat="1" applyFont="1" applyFill="1" applyBorder="1" applyAlignment="1">
      <alignment horizontal="right"/>
    </xf>
    <xf numFmtId="4" fontId="44" fillId="0" borderId="88" xfId="1" applyNumberFormat="1" applyFont="1" applyFill="1" applyBorder="1" applyAlignment="1">
      <alignment horizontal="left"/>
    </xf>
    <xf numFmtId="4" fontId="44" fillId="0" borderId="90" xfId="1" applyNumberFormat="1" applyFont="1" applyFill="1" applyBorder="1" applyAlignment="1">
      <alignment horizontal="left" wrapText="1"/>
    </xf>
    <xf numFmtId="4" fontId="0" fillId="0" borderId="88" xfId="0" applyNumberFormat="1" applyFont="1" applyBorder="1" applyAlignment="1">
      <alignment horizontal="right"/>
    </xf>
    <xf numFmtId="4" fontId="0" fillId="0" borderId="90" xfId="16" applyNumberFormat="1" applyFont="1" applyFill="1" applyBorder="1" applyAlignment="1" applyProtection="1"/>
    <xf numFmtId="0" fontId="47" fillId="0" borderId="0" xfId="1" applyFont="1" applyBorder="1" applyAlignment="1">
      <alignment horizontal="left" vertical="center" wrapText="1"/>
    </xf>
    <xf numFmtId="0" fontId="44" fillId="0" borderId="92" xfId="1" applyFont="1" applyFill="1" applyBorder="1" applyAlignment="1">
      <alignment horizontal="left"/>
    </xf>
    <xf numFmtId="0" fontId="44" fillId="0" borderId="92" xfId="1" applyFont="1" applyBorder="1" applyAlignment="1">
      <alignment horizontal="left"/>
    </xf>
    <xf numFmtId="0" fontId="44" fillId="0" borderId="96" xfId="1" applyFont="1" applyBorder="1"/>
    <xf numFmtId="4" fontId="101" fillId="8" borderId="23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3" fontId="0" fillId="6" borderId="53" xfId="0" applyNumberFormat="1" applyFont="1" applyFill="1" applyBorder="1" applyAlignment="1">
      <alignment horizontal="right"/>
    </xf>
    <xf numFmtId="0" fontId="30" fillId="6" borderId="5" xfId="0" applyFont="1" applyFill="1" applyBorder="1"/>
    <xf numFmtId="0" fontId="30" fillId="6" borderId="42" xfId="0" applyFont="1" applyFill="1" applyBorder="1"/>
    <xf numFmtId="0" fontId="30" fillId="0" borderId="55" xfId="0" applyFont="1" applyFill="1" applyBorder="1" applyAlignment="1">
      <alignment horizontal="left"/>
    </xf>
    <xf numFmtId="0" fontId="30" fillId="0" borderId="0" xfId="0" applyFont="1" applyFill="1" applyBorder="1"/>
    <xf numFmtId="0" fontId="0" fillId="2" borderId="4" xfId="0" applyFill="1" applyBorder="1" applyAlignment="1">
      <alignment horizontal="left"/>
    </xf>
    <xf numFmtId="0" fontId="0" fillId="2" borderId="0" xfId="0" applyFill="1" applyBorder="1"/>
    <xf numFmtId="3" fontId="0" fillId="2" borderId="53" xfId="0" applyNumberFormat="1" applyFill="1" applyBorder="1" applyAlignment="1">
      <alignment horizontal="right"/>
    </xf>
    <xf numFmtId="0" fontId="30" fillId="6" borderId="99" xfId="0" applyFont="1" applyFill="1" applyBorder="1" applyAlignment="1">
      <alignment horizontal="left"/>
    </xf>
    <xf numFmtId="0" fontId="30" fillId="6" borderId="100" xfId="0" applyFont="1" applyFill="1" applyBorder="1"/>
    <xf numFmtId="3" fontId="30" fillId="6" borderId="99" xfId="0" applyNumberFormat="1" applyFont="1" applyFill="1" applyBorder="1" applyAlignment="1">
      <alignment horizontal="right"/>
    </xf>
    <xf numFmtId="3" fontId="108" fillId="6" borderId="100" xfId="0" applyNumberFormat="1" applyFont="1" applyFill="1" applyBorder="1" applyAlignment="1">
      <alignment horizontal="right"/>
    </xf>
    <xf numFmtId="3" fontId="30" fillId="6" borderId="101" xfId="0" applyNumberFormat="1" applyFont="1" applyFill="1" applyBorder="1" applyAlignment="1">
      <alignment horizontal="right"/>
    </xf>
    <xf numFmtId="3" fontId="30" fillId="6" borderId="93" xfId="0" applyNumberFormat="1" applyFont="1" applyFill="1" applyBorder="1" applyAlignment="1">
      <alignment horizontal="right"/>
    </xf>
    <xf numFmtId="0" fontId="0" fillId="6" borderId="0" xfId="0" applyFont="1" applyFill="1" applyBorder="1"/>
    <xf numFmtId="0" fontId="0" fillId="6" borderId="0" xfId="0" applyFill="1" applyBorder="1" applyAlignment="1">
      <alignment horizontal="left"/>
    </xf>
    <xf numFmtId="1" fontId="30" fillId="0" borderId="0" xfId="0" applyNumberFormat="1" applyFont="1" applyFill="1" applyBorder="1" applyAlignment="1">
      <alignment horizontal="right"/>
    </xf>
    <xf numFmtId="1" fontId="30" fillId="6" borderId="97" xfId="0" applyNumberFormat="1" applyFont="1" applyFill="1" applyBorder="1" applyAlignment="1">
      <alignment horizontal="right"/>
    </xf>
    <xf numFmtId="1" fontId="30" fillId="6" borderId="30" xfId="0" applyNumberFormat="1" applyFont="1" applyFill="1" applyBorder="1" applyAlignment="1">
      <alignment horizontal="right"/>
    </xf>
    <xf numFmtId="1" fontId="30" fillId="6" borderId="51" xfId="0" applyNumberFormat="1" applyFont="1" applyFill="1" applyBorder="1" applyAlignment="1">
      <alignment horizontal="right"/>
    </xf>
    <xf numFmtId="1" fontId="30" fillId="6" borderId="66" xfId="0" applyNumberFormat="1" applyFont="1" applyFill="1" applyBorder="1" applyAlignment="1">
      <alignment horizontal="right"/>
    </xf>
    <xf numFmtId="1" fontId="108" fillId="6" borderId="58" xfId="0" applyNumberFormat="1" applyFont="1" applyFill="1" applyBorder="1" applyAlignment="1">
      <alignment horizontal="right"/>
    </xf>
    <xf numFmtId="1" fontId="30" fillId="6" borderId="98" xfId="0" applyNumberFormat="1" applyFont="1" applyFill="1" applyBorder="1" applyAlignment="1">
      <alignment horizontal="right"/>
    </xf>
    <xf numFmtId="0" fontId="79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79" fillId="0" borderId="0" xfId="0" applyNumberFormat="1" applyFont="1"/>
    <xf numFmtId="4" fontId="39" fillId="0" borderId="0" xfId="0" applyNumberFormat="1" applyFont="1" applyAlignment="1">
      <alignment horizontal="center" vertical="center" wrapText="1"/>
    </xf>
    <xf numFmtId="0" fontId="127" fillId="0" borderId="0" xfId="0" applyFont="1"/>
    <xf numFmtId="4" fontId="0" fillId="0" borderId="0" xfId="0" applyNumberFormat="1" applyFill="1" applyAlignment="1">
      <alignment horizontal="center"/>
    </xf>
    <xf numFmtId="168" fontId="0" fillId="0" borderId="0" xfId="0" applyNumberFormat="1"/>
    <xf numFmtId="9" fontId="0" fillId="0" borderId="0" xfId="0" applyNumberFormat="1" applyFill="1" applyAlignment="1">
      <alignment horizontal="center"/>
    </xf>
    <xf numFmtId="4" fontId="0" fillId="24" borderId="0" xfId="0" applyNumberFormat="1" applyFill="1"/>
    <xf numFmtId="0" fontId="0" fillId="8" borderId="0" xfId="0" applyFill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3" fontId="0" fillId="0" borderId="0" xfId="0" applyNumberFormat="1" applyFill="1" applyAlignment="1">
      <alignment horizontal="right"/>
    </xf>
    <xf numFmtId="3" fontId="0" fillId="8" borderId="0" xfId="0" applyNumberFormat="1" applyFill="1"/>
    <xf numFmtId="4" fontId="61" fillId="0" borderId="0" xfId="0" applyNumberFormat="1" applyFont="1"/>
    <xf numFmtId="14" fontId="9" fillId="0" borderId="102" xfId="0" applyNumberFormat="1" applyFont="1" applyFill="1" applyBorder="1"/>
    <xf numFmtId="0" fontId="9" fillId="0" borderId="102" xfId="0" applyFont="1" applyFill="1" applyBorder="1"/>
    <xf numFmtId="4" fontId="95" fillId="0" borderId="102" xfId="0" applyNumberFormat="1" applyFont="1" applyFill="1" applyBorder="1"/>
    <xf numFmtId="4" fontId="64" fillId="0" borderId="102" xfId="0" applyNumberFormat="1" applyFont="1" applyFill="1" applyBorder="1"/>
    <xf numFmtId="3" fontId="0" fillId="0" borderId="93" xfId="0" applyNumberFormat="1" applyFill="1" applyBorder="1"/>
    <xf numFmtId="0" fontId="61" fillId="0" borderId="93" xfId="0" applyFont="1" applyBorder="1"/>
    <xf numFmtId="3" fontId="30" fillId="0" borderId="93" xfId="0" applyNumberFormat="1" applyFont="1" applyFill="1" applyBorder="1"/>
    <xf numFmtId="3" fontId="129" fillId="0" borderId="93" xfId="0" applyNumberFormat="1" applyFont="1" applyFill="1" applyBorder="1" applyAlignment="1">
      <alignment horizontal="center"/>
    </xf>
    <xf numFmtId="3" fontId="120" fillId="0" borderId="93" xfId="0" applyNumberFormat="1" applyFont="1" applyFill="1" applyBorder="1"/>
    <xf numFmtId="0" fontId="82" fillId="0" borderId="93" xfId="0" applyFont="1" applyBorder="1"/>
    <xf numFmtId="4" fontId="82" fillId="0" borderId="93" xfId="0" applyNumberFormat="1" applyFont="1" applyBorder="1"/>
    <xf numFmtId="0" fontId="130" fillId="0" borderId="0" xfId="0" applyFont="1"/>
    <xf numFmtId="0" fontId="131" fillId="0" borderId="0" xfId="0" applyFont="1"/>
    <xf numFmtId="0" fontId="45" fillId="0" borderId="0" xfId="0" applyFont="1" applyAlignment="1">
      <alignment horizontal="right"/>
    </xf>
    <xf numFmtId="8" fontId="45" fillId="0" borderId="0" xfId="0" applyNumberFormat="1" applyFont="1" applyAlignment="1">
      <alignment horizontal="right"/>
    </xf>
    <xf numFmtId="14" fontId="44" fillId="0" borderId="93" xfId="0" applyNumberFormat="1" applyFont="1" applyBorder="1"/>
    <xf numFmtId="0" fontId="76" fillId="0" borderId="93" xfId="0" applyFont="1" applyBorder="1" applyAlignment="1">
      <alignment wrapText="1"/>
    </xf>
    <xf numFmtId="4" fontId="44" fillId="0" borderId="93" xfId="0" applyNumberFormat="1" applyFont="1" applyBorder="1"/>
    <xf numFmtId="4" fontId="44" fillId="11" borderId="93" xfId="0" applyNumberFormat="1" applyFont="1" applyFill="1" applyBorder="1"/>
    <xf numFmtId="4" fontId="101" fillId="11" borderId="23" xfId="0" applyNumberFormat="1" applyFont="1" applyFill="1" applyBorder="1"/>
    <xf numFmtId="3" fontId="73" fillId="0" borderId="104" xfId="0" applyNumberFormat="1" applyFont="1" applyFill="1" applyBorder="1" applyAlignment="1">
      <alignment horizontal="center"/>
    </xf>
    <xf numFmtId="4" fontId="0" fillId="0" borderId="104" xfId="0" applyNumberFormat="1" applyBorder="1"/>
    <xf numFmtId="4" fontId="0" fillId="0" borderId="105" xfId="0" applyNumberFormat="1" applyBorder="1"/>
    <xf numFmtId="3" fontId="73" fillId="0" borderId="0" xfId="0" applyNumberFormat="1" applyFont="1" applyFill="1" applyBorder="1" applyAlignment="1">
      <alignment horizontal="center"/>
    </xf>
    <xf numFmtId="3" fontId="73" fillId="0" borderId="107" xfId="0" applyNumberFormat="1" applyFont="1" applyFill="1" applyBorder="1" applyAlignment="1">
      <alignment horizontal="center"/>
    </xf>
    <xf numFmtId="3" fontId="72" fillId="0" borderId="107" xfId="0" applyNumberFormat="1" applyFont="1" applyFill="1" applyBorder="1"/>
    <xf numFmtId="3" fontId="0" fillId="0" borderId="108" xfId="0" applyNumberFormat="1" applyFill="1" applyBorder="1"/>
    <xf numFmtId="0" fontId="0" fillId="0" borderId="103" xfId="0" applyBorder="1"/>
    <xf numFmtId="0" fontId="0" fillId="0" borderId="104" xfId="0" applyBorder="1"/>
    <xf numFmtId="4" fontId="72" fillId="0" borderId="0" xfId="0" applyNumberFormat="1" applyFont="1" applyFill="1" applyBorder="1"/>
    <xf numFmtId="4" fontId="0" fillId="0" borderId="21" xfId="0" applyNumberFormat="1" applyFill="1" applyBorder="1"/>
    <xf numFmtId="0" fontId="0" fillId="0" borderId="106" xfId="0" applyBorder="1"/>
    <xf numFmtId="3" fontId="0" fillId="0" borderId="107" xfId="0" applyNumberFormat="1" applyFill="1" applyBorder="1"/>
    <xf numFmtId="0" fontId="0" fillId="0" borderId="99" xfId="0" applyBorder="1"/>
    <xf numFmtId="3" fontId="0" fillId="0" borderId="100" xfId="0" applyNumberFormat="1" applyFill="1" applyBorder="1"/>
    <xf numFmtId="3" fontId="73" fillId="0" borderId="100" xfId="0" applyNumberFormat="1" applyFont="1" applyFill="1" applyBorder="1" applyAlignment="1">
      <alignment horizontal="center"/>
    </xf>
    <xf numFmtId="3" fontId="72" fillId="0" borderId="100" xfId="0" applyNumberFormat="1" applyFont="1" applyFill="1" applyBorder="1"/>
    <xf numFmtId="0" fontId="61" fillId="0" borderId="103" xfId="0" applyFont="1" applyBorder="1"/>
    <xf numFmtId="0" fontId="0" fillId="0" borderId="104" xfId="0" applyBorder="1" applyAlignment="1">
      <alignment horizontal="center"/>
    </xf>
    <xf numFmtId="0" fontId="61" fillId="0" borderId="53" xfId="0" applyFont="1" applyBorder="1"/>
    <xf numFmtId="4" fontId="0" fillId="0" borderId="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1" fillId="0" borderId="53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61" fillId="0" borderId="106" xfId="0" applyFont="1" applyBorder="1"/>
    <xf numFmtId="4" fontId="0" fillId="0" borderId="101" xfId="0" applyNumberFormat="1" applyFill="1" applyBorder="1"/>
    <xf numFmtId="14" fontId="50" fillId="0" borderId="23" xfId="0" applyNumberFormat="1" applyFont="1" applyBorder="1"/>
    <xf numFmtId="0" fontId="93" fillId="0" borderId="23" xfId="0" applyFont="1" applyBorder="1" applyAlignment="1">
      <alignment wrapText="1"/>
    </xf>
    <xf numFmtId="4" fontId="50" fillId="0" borderId="23" xfId="0" applyNumberFormat="1" applyFont="1" applyBorder="1"/>
    <xf numFmtId="3" fontId="61" fillId="0" borderId="93" xfId="0" applyNumberFormat="1" applyFont="1" applyFill="1" applyBorder="1"/>
    <xf numFmtId="0" fontId="6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 applyBorder="1" applyAlignment="1">
      <alignment horizontal="center"/>
    </xf>
    <xf numFmtId="4" fontId="0" fillId="8" borderId="105" xfId="0" applyNumberFormat="1" applyFill="1" applyBorder="1" applyAlignment="1">
      <alignment horizontal="center"/>
    </xf>
    <xf numFmtId="4" fontId="0" fillId="8" borderId="21" xfId="0" applyNumberFormat="1" applyFill="1" applyBorder="1" applyAlignment="1">
      <alignment horizontal="center"/>
    </xf>
    <xf numFmtId="4" fontId="50" fillId="8" borderId="23" xfId="0" applyNumberFormat="1" applyFont="1" applyFill="1" applyBorder="1"/>
    <xf numFmtId="4" fontId="0" fillId="6" borderId="21" xfId="0" applyNumberFormat="1" applyFill="1" applyBorder="1" applyAlignment="1">
      <alignment horizontal="center"/>
    </xf>
    <xf numFmtId="3" fontId="0" fillId="0" borderId="104" xfId="0" applyNumberFormat="1" applyFill="1" applyBorder="1"/>
    <xf numFmtId="3" fontId="0" fillId="0" borderId="107" xfId="0" applyNumberFormat="1" applyBorder="1"/>
    <xf numFmtId="0" fontId="61" fillId="0" borderId="0" xfId="0" applyFont="1" applyAlignment="1">
      <alignment horizontal="left"/>
    </xf>
    <xf numFmtId="0" fontId="132" fillId="0" borderId="42" xfId="0" applyFont="1" applyBorder="1"/>
    <xf numFmtId="0" fontId="0" fillId="0" borderId="30" xfId="0" applyBorder="1"/>
    <xf numFmtId="0" fontId="0" fillId="0" borderId="51" xfId="0" applyBorder="1"/>
    <xf numFmtId="0" fontId="0" fillId="0" borderId="55" xfId="0" applyBorder="1"/>
    <xf numFmtId="0" fontId="0" fillId="0" borderId="18" xfId="0" applyBorder="1"/>
    <xf numFmtId="0" fontId="133" fillId="0" borderId="55" xfId="0" applyFont="1" applyBorder="1"/>
    <xf numFmtId="0" fontId="134" fillId="0" borderId="0" xfId="0" applyFont="1" applyBorder="1" applyAlignment="1">
      <alignment horizontal="right"/>
    </xf>
    <xf numFmtId="0" fontId="134" fillId="0" borderId="18" xfId="0" applyFont="1" applyBorder="1" applyAlignment="1">
      <alignment horizontal="right"/>
    </xf>
    <xf numFmtId="0" fontId="75" fillId="0" borderId="6" xfId="6" applyBorder="1"/>
    <xf numFmtId="14" fontId="135" fillId="0" borderId="93" xfId="0" applyNumberFormat="1" applyFont="1" applyBorder="1"/>
    <xf numFmtId="0" fontId="136" fillId="0" borderId="93" xfId="0" applyFont="1" applyBorder="1" applyAlignment="1">
      <alignment wrapText="1"/>
    </xf>
    <xf numFmtId="4" fontId="135" fillId="0" borderId="93" xfId="0" applyNumberFormat="1" applyFont="1" applyBorder="1"/>
    <xf numFmtId="0" fontId="62" fillId="8" borderId="0" xfId="0" applyFont="1" applyFill="1" applyBorder="1" applyAlignment="1">
      <alignment horizontal="center"/>
    </xf>
    <xf numFmtId="3" fontId="72" fillId="2" borderId="65" xfId="0" applyNumberFormat="1" applyFont="1" applyFill="1" applyBorder="1" applyAlignment="1">
      <alignment horizontal="right"/>
    </xf>
    <xf numFmtId="3" fontId="120" fillId="6" borderId="53" xfId="0" applyNumberFormat="1" applyFont="1" applyFill="1" applyBorder="1" applyAlignment="1">
      <alignment horizontal="right"/>
    </xf>
    <xf numFmtId="4" fontId="120" fillId="2" borderId="65" xfId="0" applyNumberFormat="1" applyFont="1" applyFill="1" applyBorder="1" applyAlignment="1">
      <alignment horizontal="right"/>
    </xf>
    <xf numFmtId="4" fontId="120" fillId="2" borderId="53" xfId="0" applyNumberFormat="1" applyFont="1" applyFill="1" applyBorder="1" applyAlignment="1">
      <alignment horizontal="right"/>
    </xf>
    <xf numFmtId="4" fontId="120" fillId="6" borderId="66" xfId="0" applyNumberFormat="1" applyFont="1" applyFill="1" applyBorder="1" applyAlignment="1">
      <alignment horizontal="right"/>
    </xf>
    <xf numFmtId="3" fontId="30" fillId="0" borderId="53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108" fillId="0" borderId="53" xfId="0" applyNumberFormat="1" applyFont="1" applyFill="1" applyBorder="1" applyAlignment="1">
      <alignment horizontal="right"/>
    </xf>
    <xf numFmtId="3" fontId="120" fillId="0" borderId="53" xfId="0" applyNumberFormat="1" applyFont="1" applyFill="1" applyBorder="1" applyAlignment="1">
      <alignment horizontal="right"/>
    </xf>
    <xf numFmtId="4" fontId="64" fillId="0" borderId="93" xfId="0" applyNumberFormat="1" applyFont="1" applyFill="1" applyBorder="1"/>
    <xf numFmtId="4" fontId="101" fillId="21" borderId="93" xfId="0" applyNumberFormat="1" applyFont="1" applyFill="1" applyBorder="1"/>
    <xf numFmtId="4" fontId="101" fillId="0" borderId="93" xfId="0" applyNumberFormat="1" applyFont="1" applyBorder="1"/>
    <xf numFmtId="4" fontId="101" fillId="0" borderId="93" xfId="0" applyNumberFormat="1" applyFont="1" applyFill="1" applyBorder="1"/>
    <xf numFmtId="4" fontId="101" fillId="8" borderId="93" xfId="0" applyNumberFormat="1" applyFont="1" applyFill="1" applyBorder="1"/>
    <xf numFmtId="4" fontId="50" fillId="0" borderId="93" xfId="0" applyNumberFormat="1" applyFont="1" applyBorder="1"/>
    <xf numFmtId="4" fontId="50" fillId="8" borderId="93" xfId="0" applyNumberFormat="1" applyFont="1" applyFill="1" applyBorder="1"/>
    <xf numFmtId="0" fontId="37" fillId="0" borderId="0" xfId="0" applyFont="1" applyFill="1"/>
    <xf numFmtId="4" fontId="50" fillId="21" borderId="23" xfId="0" applyNumberFormat="1" applyFont="1" applyFill="1" applyBorder="1"/>
    <xf numFmtId="165" fontId="37" fillId="3" borderId="0" xfId="0" applyNumberFormat="1" applyFont="1" applyFill="1" applyBorder="1"/>
    <xf numFmtId="1" fontId="37" fillId="3" borderId="0" xfId="0" applyNumberFormat="1" applyFont="1" applyFill="1" applyBorder="1"/>
    <xf numFmtId="3" fontId="0" fillId="0" borderId="87" xfId="0" applyNumberFormat="1" applyFill="1" applyBorder="1"/>
    <xf numFmtId="3" fontId="0" fillId="6" borderId="87" xfId="0" applyNumberFormat="1" applyFill="1" applyBorder="1"/>
    <xf numFmtId="0" fontId="79" fillId="0" borderId="0" xfId="0" applyFont="1" applyFill="1" applyAlignment="1"/>
    <xf numFmtId="3" fontId="97" fillId="0" borderId="0" xfId="0" applyNumberFormat="1" applyFont="1" applyFill="1"/>
    <xf numFmtId="4" fontId="50" fillId="0" borderId="93" xfId="0" applyNumberFormat="1" applyFont="1" applyFill="1" applyBorder="1"/>
    <xf numFmtId="3" fontId="39" fillId="0" borderId="87" xfId="0" applyNumberFormat="1" applyFont="1" applyFill="1" applyBorder="1" applyAlignment="1">
      <alignment horizontal="center" vertical="center" wrapText="1"/>
    </xf>
    <xf numFmtId="0" fontId="0" fillId="0" borderId="109" xfId="0" applyBorder="1"/>
    <xf numFmtId="17" fontId="61" fillId="0" borderId="0" xfId="0" applyNumberFormat="1" applyFont="1"/>
    <xf numFmtId="14" fontId="39" fillId="0" borderId="87" xfId="0" applyNumberFormat="1" applyFont="1" applyFill="1" applyBorder="1" applyAlignment="1">
      <alignment horizontal="center" vertical="center" wrapText="1"/>
    </xf>
    <xf numFmtId="4" fontId="135" fillId="21" borderId="93" xfId="0" applyNumberFormat="1" applyFont="1" applyFill="1" applyBorder="1"/>
    <xf numFmtId="4" fontId="44" fillId="6" borderId="93" xfId="0" applyNumberFormat="1" applyFont="1" applyFill="1" applyBorder="1"/>
    <xf numFmtId="0" fontId="136" fillId="11" borderId="93" xfId="0" applyFont="1" applyFill="1" applyBorder="1" applyAlignment="1">
      <alignment wrapText="1"/>
    </xf>
    <xf numFmtId="0" fontId="29" fillId="11" borderId="0" xfId="0" applyFont="1" applyFill="1"/>
    <xf numFmtId="4" fontId="135" fillId="11" borderId="93" xfId="0" applyNumberFormat="1" applyFont="1" applyFill="1" applyBorder="1"/>
    <xf numFmtId="14" fontId="135" fillId="11" borderId="93" xfId="0" applyNumberFormat="1" applyFont="1" applyFill="1" applyBorder="1"/>
    <xf numFmtId="0" fontId="64" fillId="11" borderId="0" xfId="0" applyFont="1" applyFill="1"/>
    <xf numFmtId="14" fontId="44" fillId="11" borderId="93" xfId="0" applyNumberFormat="1" applyFont="1" applyFill="1" applyBorder="1"/>
    <xf numFmtId="0" fontId="76" fillId="11" borderId="93" xfId="0" applyFont="1" applyFill="1" applyBorder="1" applyAlignment="1">
      <alignment wrapText="1"/>
    </xf>
    <xf numFmtId="14" fontId="44" fillId="6" borderId="93" xfId="0" applyNumberFormat="1" applyFont="1" applyFill="1" applyBorder="1"/>
    <xf numFmtId="0" fontId="76" fillId="6" borderId="93" xfId="0" applyFont="1" applyFill="1" applyBorder="1" applyAlignment="1">
      <alignment wrapText="1"/>
    </xf>
    <xf numFmtId="0" fontId="29" fillId="6" borderId="0" xfId="0" applyFont="1" applyFill="1"/>
    <xf numFmtId="0" fontId="76" fillId="24" borderId="93" xfId="0" applyFont="1" applyFill="1" applyBorder="1" applyAlignment="1">
      <alignment wrapText="1"/>
    </xf>
    <xf numFmtId="0" fontId="29" fillId="24" borderId="0" xfId="0" applyFont="1" applyFill="1"/>
    <xf numFmtId="4" fontId="44" fillId="24" borderId="93" xfId="0" applyNumberFormat="1" applyFont="1" applyFill="1" applyBorder="1"/>
    <xf numFmtId="3" fontId="0" fillId="20" borderId="0" xfId="0" applyNumberFormat="1" applyFill="1"/>
    <xf numFmtId="0" fontId="74" fillId="0" borderId="0" xfId="0" pivotButton="1" applyFont="1"/>
    <xf numFmtId="0" fontId="74" fillId="0" borderId="0" xfId="0" applyFont="1"/>
    <xf numFmtId="3" fontId="74" fillId="0" borderId="0" xfId="0" applyNumberFormat="1" applyFont="1" applyFill="1"/>
    <xf numFmtId="3" fontId="74" fillId="6" borderId="0" xfId="0" applyNumberFormat="1" applyFont="1" applyFill="1"/>
    <xf numFmtId="4" fontId="30" fillId="0" borderId="0" xfId="0" applyNumberFormat="1" applyFont="1" applyBorder="1"/>
    <xf numFmtId="4" fontId="30" fillId="0" borderId="0" xfId="0" applyNumberFormat="1" applyFont="1" applyFill="1" applyBorder="1"/>
    <xf numFmtId="4" fontId="30" fillId="0" borderId="0" xfId="0" applyNumberFormat="1" applyFont="1" applyFill="1"/>
    <xf numFmtId="4" fontId="105" fillId="0" borderId="102" xfId="0" applyNumberFormat="1" applyFont="1" applyFill="1" applyBorder="1"/>
    <xf numFmtId="4" fontId="105" fillId="0" borderId="93" xfId="0" applyNumberFormat="1" applyFont="1" applyFill="1" applyBorder="1"/>
    <xf numFmtId="4" fontId="47" fillId="21" borderId="93" xfId="0" applyNumberFormat="1" applyFont="1" applyFill="1" applyBorder="1"/>
    <xf numFmtId="4" fontId="47" fillId="0" borderId="93" xfId="0" applyNumberFormat="1" applyFont="1" applyBorder="1"/>
    <xf numFmtId="4" fontId="47" fillId="0" borderId="93" xfId="0" applyNumberFormat="1" applyFont="1" applyFill="1" applyBorder="1"/>
    <xf numFmtId="4" fontId="47" fillId="8" borderId="93" xfId="0" applyNumberFormat="1" applyFont="1" applyFill="1" applyBorder="1"/>
    <xf numFmtId="4" fontId="70" fillId="0" borderId="93" xfId="0" applyNumberFormat="1" applyFont="1" applyBorder="1"/>
    <xf numFmtId="4" fontId="70" fillId="8" borderId="93" xfId="0" applyNumberFormat="1" applyFont="1" applyFill="1" applyBorder="1"/>
    <xf numFmtId="3" fontId="72" fillId="20" borderId="0" xfId="0" applyNumberFormat="1" applyFont="1" applyFill="1"/>
    <xf numFmtId="3" fontId="72" fillId="6" borderId="0" xfId="0" applyNumberFormat="1" applyFont="1" applyFill="1" applyAlignment="1">
      <alignment horizontal="center"/>
    </xf>
    <xf numFmtId="3" fontId="72" fillId="20" borderId="0" xfId="0" applyNumberFormat="1" applyFont="1" applyFill="1" applyAlignment="1">
      <alignment horizontal="center"/>
    </xf>
    <xf numFmtId="3" fontId="72" fillId="0" borderId="110" xfId="0" applyNumberFormat="1" applyFont="1" applyFill="1" applyBorder="1" applyAlignment="1">
      <alignment horizontal="center" vertical="center"/>
    </xf>
    <xf numFmtId="3" fontId="72" fillId="0" borderId="63" xfId="0" applyNumberFormat="1" applyFont="1" applyFill="1" applyBorder="1" applyAlignment="1">
      <alignment horizontal="center" vertical="center"/>
    </xf>
    <xf numFmtId="14" fontId="106" fillId="0" borderId="111" xfId="0" applyNumberFormat="1" applyFont="1" applyFill="1" applyBorder="1" applyAlignment="1">
      <alignment horizontal="center" vertical="center" wrapText="1"/>
    </xf>
    <xf numFmtId="0" fontId="106" fillId="0" borderId="111" xfId="0" applyFont="1" applyFill="1" applyBorder="1" applyAlignment="1">
      <alignment vertical="top" wrapText="1"/>
    </xf>
    <xf numFmtId="14" fontId="106" fillId="0" borderId="56" xfId="0" applyNumberFormat="1" applyFont="1" applyFill="1" applyBorder="1" applyAlignment="1">
      <alignment horizontal="center" vertical="center" wrapText="1"/>
    </xf>
    <xf numFmtId="0" fontId="106" fillId="0" borderId="56" xfId="0" applyFont="1" applyFill="1" applyBorder="1" applyAlignment="1">
      <alignment vertical="top" wrapText="1"/>
    </xf>
    <xf numFmtId="0" fontId="0" fillId="15" borderId="0" xfId="0" applyFill="1"/>
    <xf numFmtId="3" fontId="0" fillId="15" borderId="0" xfId="0" applyNumberFormat="1" applyFill="1"/>
    <xf numFmtId="0" fontId="133" fillId="0" borderId="0" xfId="0" applyFont="1"/>
    <xf numFmtId="4" fontId="135" fillId="0" borderId="0" xfId="0" applyNumberFormat="1" applyFont="1" applyBorder="1"/>
    <xf numFmtId="3" fontId="48" fillId="16" borderId="113" xfId="1" applyNumberFormat="1" applyFont="1" applyFill="1" applyBorder="1" applyAlignment="1"/>
    <xf numFmtId="0" fontId="48" fillId="0" borderId="114" xfId="1" applyFont="1" applyFill="1" applyBorder="1" applyAlignment="1">
      <alignment horizontal="center"/>
    </xf>
    <xf numFmtId="0" fontId="48" fillId="0" borderId="113" xfId="1" applyFont="1" applyFill="1" applyBorder="1" applyAlignment="1">
      <alignment horizontal="center"/>
    </xf>
    <xf numFmtId="0" fontId="48" fillId="0" borderId="92" xfId="1" applyFont="1" applyFill="1" applyBorder="1" applyAlignment="1">
      <alignment horizontal="center"/>
    </xf>
    <xf numFmtId="3" fontId="49" fillId="10" borderId="116" xfId="1" applyNumberFormat="1" applyFont="1" applyFill="1" applyBorder="1" applyAlignment="1">
      <alignment horizontal="left"/>
    </xf>
    <xf numFmtId="3" fontId="49" fillId="10" borderId="88" xfId="1" applyNumberFormat="1" applyFont="1" applyFill="1" applyBorder="1" applyAlignment="1">
      <alignment horizontal="left"/>
    </xf>
    <xf numFmtId="3" fontId="84" fillId="10" borderId="88" xfId="1" applyNumberFormat="1" applyFont="1" applyFill="1" applyBorder="1" applyAlignment="1">
      <alignment horizontal="left"/>
    </xf>
    <xf numFmtId="3" fontId="44" fillId="0" borderId="118" xfId="1" applyNumberFormat="1" applyFont="1" applyBorder="1" applyAlignment="1">
      <alignment horizontal="center"/>
    </xf>
    <xf numFmtId="3" fontId="44" fillId="0" borderId="119" xfId="1" applyNumberFormat="1" applyFont="1" applyBorder="1" applyAlignment="1">
      <alignment horizontal="left"/>
    </xf>
    <xf numFmtId="3" fontId="85" fillId="0" borderId="119" xfId="1" applyNumberFormat="1" applyFont="1" applyFill="1" applyBorder="1" applyAlignment="1">
      <alignment horizontal="center"/>
    </xf>
    <xf numFmtId="3" fontId="44" fillId="0" borderId="119" xfId="1" applyNumberFormat="1" applyFont="1" applyFill="1" applyBorder="1" applyAlignment="1">
      <alignment horizontal="center"/>
    </xf>
    <xf numFmtId="3" fontId="44" fillId="0" borderId="119" xfId="1" applyNumberFormat="1" applyFont="1" applyFill="1" applyBorder="1" applyAlignment="1">
      <alignment horizontal="left"/>
    </xf>
    <xf numFmtId="3" fontId="51" fillId="0" borderId="116" xfId="1" applyNumberFormat="1" applyFont="1" applyBorder="1" applyAlignment="1">
      <alignment horizontal="center"/>
    </xf>
    <xf numFmtId="3" fontId="51" fillId="0" borderId="88" xfId="1" applyNumberFormat="1" applyFont="1" applyBorder="1" applyAlignment="1">
      <alignment horizontal="center"/>
    </xf>
    <xf numFmtId="3" fontId="48" fillId="0" borderId="88" xfId="1" applyNumberFormat="1" applyFont="1" applyFill="1" applyBorder="1" applyAlignment="1">
      <alignment horizontal="center"/>
    </xf>
    <xf numFmtId="3" fontId="87" fillId="0" borderId="88" xfId="1" applyNumberFormat="1" applyFont="1" applyFill="1" applyBorder="1" applyAlignment="1">
      <alignment horizontal="center"/>
    </xf>
    <xf numFmtId="0" fontId="48" fillId="9" borderId="120" xfId="1" applyFont="1" applyFill="1" applyBorder="1" applyAlignment="1">
      <alignment horizontal="center"/>
    </xf>
    <xf numFmtId="3" fontId="44" fillId="0" borderId="116" xfId="1" applyNumberFormat="1" applyFont="1" applyBorder="1" applyAlignment="1">
      <alignment horizontal="center"/>
    </xf>
    <xf numFmtId="3" fontId="44" fillId="0" borderId="88" xfId="1" applyNumberFormat="1" applyFont="1" applyBorder="1" applyAlignment="1"/>
    <xf numFmtId="3" fontId="85" fillId="0" borderId="88" xfId="1" applyNumberFormat="1" applyFont="1" applyBorder="1" applyAlignment="1">
      <alignment horizontal="center"/>
    </xf>
    <xf numFmtId="3" fontId="51" fillId="0" borderId="88" xfId="1" applyNumberFormat="1" applyFont="1" applyFill="1" applyBorder="1" applyAlignment="1">
      <alignment horizontal="center"/>
    </xf>
    <xf numFmtId="3" fontId="48" fillId="0" borderId="88" xfId="1" applyNumberFormat="1" applyFont="1" applyBorder="1" applyAlignment="1">
      <alignment horizontal="center"/>
    </xf>
    <xf numFmtId="3" fontId="49" fillId="10" borderId="88" xfId="1" applyNumberFormat="1" applyFont="1" applyFill="1" applyBorder="1" applyAlignment="1"/>
    <xf numFmtId="3" fontId="84" fillId="10" borderId="88" xfId="1" applyNumberFormat="1" applyFont="1" applyFill="1" applyBorder="1" applyAlignment="1">
      <alignment horizontal="center"/>
    </xf>
    <xf numFmtId="3" fontId="85" fillId="0" borderId="119" xfId="1" applyNumberFormat="1" applyFont="1" applyFill="1" applyBorder="1" applyAlignment="1">
      <alignment horizontal="right"/>
    </xf>
    <xf numFmtId="1" fontId="48" fillId="19" borderId="6" xfId="1" applyNumberFormat="1" applyFont="1" applyFill="1" applyBorder="1"/>
    <xf numFmtId="3" fontId="44" fillId="0" borderId="119" xfId="1" applyNumberFormat="1" applyFont="1" applyBorder="1" applyAlignment="1">
      <alignment horizontal="center"/>
    </xf>
    <xf numFmtId="3" fontId="51" fillId="0" borderId="112" xfId="1" applyNumberFormat="1" applyFont="1" applyBorder="1" applyAlignment="1">
      <alignment horizontal="center"/>
    </xf>
    <xf numFmtId="3" fontId="51" fillId="0" borderId="113" xfId="1" applyNumberFormat="1" applyFont="1" applyBorder="1" applyAlignment="1">
      <alignment horizontal="center"/>
    </xf>
    <xf numFmtId="3" fontId="51" fillId="0" borderId="114" xfId="1" applyNumberFormat="1" applyFont="1" applyBorder="1" applyAlignment="1"/>
    <xf numFmtId="3" fontId="51" fillId="0" borderId="113" xfId="1" applyNumberFormat="1" applyFont="1" applyBorder="1" applyAlignment="1"/>
    <xf numFmtId="3" fontId="85" fillId="0" borderId="88" xfId="1" applyNumberFormat="1" applyFont="1" applyBorder="1"/>
    <xf numFmtId="3" fontId="51" fillId="0" borderId="114" xfId="1" applyNumberFormat="1" applyFont="1" applyBorder="1" applyAlignment="1">
      <alignment horizontal="right"/>
    </xf>
    <xf numFmtId="3" fontId="51" fillId="0" borderId="113" xfId="1" applyNumberFormat="1" applyFont="1" applyBorder="1" applyAlignment="1">
      <alignment horizontal="right"/>
    </xf>
    <xf numFmtId="3" fontId="85" fillId="0" borderId="92" xfId="1" applyNumberFormat="1" applyFont="1" applyBorder="1"/>
    <xf numFmtId="3" fontId="49" fillId="10" borderId="114" xfId="1" applyNumberFormat="1" applyFont="1" applyFill="1" applyBorder="1" applyAlignment="1">
      <alignment horizontal="left"/>
    </xf>
    <xf numFmtId="3" fontId="49" fillId="10" borderId="113" xfId="1" applyNumberFormat="1" applyFont="1" applyFill="1" applyBorder="1" applyAlignment="1">
      <alignment horizontal="left"/>
    </xf>
    <xf numFmtId="3" fontId="84" fillId="10" borderId="92" xfId="1" applyNumberFormat="1" applyFont="1" applyFill="1" applyBorder="1" applyAlignment="1">
      <alignment horizontal="left"/>
    </xf>
    <xf numFmtId="3" fontId="44" fillId="0" borderId="119" xfId="1" applyNumberFormat="1" applyBorder="1" applyAlignment="1">
      <alignment horizontal="center"/>
    </xf>
    <xf numFmtId="3" fontId="85" fillId="0" borderId="119" xfId="1" applyNumberFormat="1" applyFont="1" applyFill="1" applyBorder="1"/>
    <xf numFmtId="3" fontId="51" fillId="0" borderId="121" xfId="1" applyNumberFormat="1" applyFont="1" applyBorder="1" applyAlignment="1"/>
    <xf numFmtId="3" fontId="51" fillId="0" borderId="122" xfId="1" applyNumberFormat="1" applyFont="1" applyBorder="1" applyAlignment="1">
      <alignment horizontal="center"/>
    </xf>
    <xf numFmtId="3" fontId="48" fillId="0" borderId="94" xfId="1" applyNumberFormat="1" applyFont="1" applyFill="1" applyBorder="1" applyAlignment="1">
      <alignment horizontal="center"/>
    </xf>
    <xf numFmtId="3" fontId="44" fillId="0" borderId="0" xfId="1" applyNumberFormat="1" applyFont="1" applyBorder="1" applyAlignment="1">
      <alignment horizontal="left"/>
    </xf>
    <xf numFmtId="3" fontId="44" fillId="0" borderId="119" xfId="1" applyNumberFormat="1" applyFont="1" applyBorder="1"/>
    <xf numFmtId="3" fontId="45" fillId="0" borderId="0" xfId="1" applyNumberFormat="1" applyFont="1" applyBorder="1" applyAlignment="1">
      <alignment horizontal="center"/>
    </xf>
    <xf numFmtId="3" fontId="88" fillId="0" borderId="0" xfId="1" applyNumberFormat="1" applyFont="1" applyBorder="1" applyAlignment="1">
      <alignment horizontal="center"/>
    </xf>
    <xf numFmtId="3" fontId="44" fillId="0" borderId="0" xfId="1" applyNumberFormat="1" applyFont="1" applyBorder="1" applyAlignment="1">
      <alignment horizontal="right" vertical="center"/>
    </xf>
    <xf numFmtId="3" fontId="88" fillId="0" borderId="0" xfId="1" applyNumberFormat="1" applyFont="1" applyBorder="1" applyAlignment="1">
      <alignment horizontal="right" vertical="center"/>
    </xf>
    <xf numFmtId="3" fontId="137" fillId="0" borderId="0" xfId="0" applyNumberFormat="1" applyFont="1" applyBorder="1" applyAlignment="1">
      <alignment horizontal="right" vertical="center"/>
    </xf>
    <xf numFmtId="3" fontId="51" fillId="0" borderId="116" xfId="1" applyNumberFormat="1" applyFont="1" applyBorder="1" applyAlignment="1"/>
    <xf numFmtId="3" fontId="51" fillId="0" borderId="88" xfId="1" applyNumberFormat="1" applyFont="1" applyBorder="1" applyAlignment="1"/>
    <xf numFmtId="3" fontId="85" fillId="0" borderId="88" xfId="1" applyNumberFormat="1" applyFont="1" applyFill="1" applyBorder="1"/>
    <xf numFmtId="3" fontId="44" fillId="0" borderId="119" xfId="1" applyNumberFormat="1" applyFont="1" applyBorder="1" applyAlignment="1"/>
    <xf numFmtId="3" fontId="47" fillId="10" borderId="88" xfId="1" applyNumberFormat="1" applyFont="1" applyFill="1" applyBorder="1" applyAlignment="1"/>
    <xf numFmtId="3" fontId="48" fillId="10" borderId="88" xfId="1" applyNumberFormat="1" applyFont="1" applyFill="1" applyBorder="1" applyAlignment="1"/>
    <xf numFmtId="3" fontId="50" fillId="0" borderId="119" xfId="1" applyNumberFormat="1" applyFont="1" applyBorder="1" applyAlignment="1">
      <alignment horizontal="left"/>
    </xf>
    <xf numFmtId="3" fontId="86" fillId="0" borderId="119" xfId="1" applyNumberFormat="1" applyFont="1" applyFill="1" applyBorder="1"/>
    <xf numFmtId="3" fontId="51" fillId="0" borderId="112" xfId="1" applyNumberFormat="1" applyFont="1" applyBorder="1" applyAlignment="1"/>
    <xf numFmtId="3" fontId="51" fillId="0" borderId="114" xfId="1" applyNumberFormat="1" applyFont="1" applyBorder="1" applyAlignment="1">
      <alignment horizontal="center"/>
    </xf>
    <xf numFmtId="3" fontId="51" fillId="0" borderId="123" xfId="1" applyNumberFormat="1" applyFont="1" applyBorder="1" applyAlignment="1"/>
    <xf numFmtId="3" fontId="51" fillId="0" borderId="124" xfId="1" applyNumberFormat="1" applyFont="1" applyBorder="1" applyAlignment="1"/>
    <xf numFmtId="3" fontId="51" fillId="0" borderId="125" xfId="1" applyNumberFormat="1" applyFont="1" applyBorder="1" applyAlignment="1"/>
    <xf numFmtId="3" fontId="70" fillId="0" borderId="90" xfId="1" applyNumberFormat="1" applyFont="1" applyFill="1" applyBorder="1"/>
    <xf numFmtId="3" fontId="47" fillId="17" borderId="123" xfId="1" applyNumberFormat="1" applyFont="1" applyFill="1" applyBorder="1" applyAlignment="1"/>
    <xf numFmtId="3" fontId="47" fillId="17" borderId="124" xfId="1" applyNumberFormat="1" applyFont="1" applyFill="1" applyBorder="1" applyAlignment="1"/>
    <xf numFmtId="3" fontId="45" fillId="17" borderId="127" xfId="1" applyNumberFormat="1" applyFont="1" applyFill="1" applyBorder="1" applyAlignment="1">
      <alignment horizontal="center"/>
    </xf>
    <xf numFmtId="3" fontId="47" fillId="17" borderId="125" xfId="1" applyNumberFormat="1" applyFont="1" applyFill="1" applyBorder="1" applyAlignment="1"/>
    <xf numFmtId="3" fontId="45" fillId="17" borderId="128" xfId="1" applyNumberFormat="1" applyFont="1" applyFill="1" applyBorder="1" applyAlignment="1">
      <alignment horizontal="center"/>
    </xf>
    <xf numFmtId="165" fontId="65" fillId="3" borderId="0" xfId="0" applyNumberFormat="1" applyFont="1" applyFill="1" applyBorder="1"/>
    <xf numFmtId="1" fontId="65" fillId="3" borderId="0" xfId="0" applyNumberFormat="1" applyFont="1" applyFill="1" applyBorder="1"/>
    <xf numFmtId="14" fontId="90" fillId="0" borderId="23" xfId="0" applyNumberFormat="1" applyFont="1" applyBorder="1"/>
    <xf numFmtId="0" fontId="138" fillId="0" borderId="23" xfId="0" applyFont="1" applyBorder="1" applyAlignment="1">
      <alignment wrapText="1"/>
    </xf>
    <xf numFmtId="4" fontId="90" fillId="0" borderId="23" xfId="0" applyNumberFormat="1" applyFont="1" applyBorder="1"/>
    <xf numFmtId="0" fontId="66" fillId="0" borderId="0" xfId="0" applyFont="1" applyFill="1" applyBorder="1" applyAlignment="1">
      <alignment horizontal="center"/>
    </xf>
    <xf numFmtId="4" fontId="90" fillId="8" borderId="23" xfId="0" applyNumberFormat="1" applyFont="1" applyFill="1" applyBorder="1"/>
    <xf numFmtId="4" fontId="90" fillId="21" borderId="23" xfId="0" applyNumberFormat="1" applyFont="1" applyFill="1" applyBorder="1"/>
    <xf numFmtId="0" fontId="65" fillId="2" borderId="23" xfId="0" applyFont="1" applyFill="1" applyBorder="1" applyProtection="1">
      <protection locked="0"/>
    </xf>
    <xf numFmtId="4" fontId="90" fillId="0" borderId="23" xfId="0" applyNumberFormat="1" applyFont="1" applyFill="1" applyBorder="1"/>
    <xf numFmtId="0" fontId="90" fillId="0" borderId="92" xfId="1" applyFont="1" applyBorder="1"/>
    <xf numFmtId="3" fontId="30" fillId="6" borderId="64" xfId="0" applyNumberFormat="1" applyFont="1" applyFill="1" applyBorder="1"/>
    <xf numFmtId="4" fontId="72" fillId="0" borderId="0" xfId="0" applyNumberFormat="1" applyFont="1"/>
    <xf numFmtId="0" fontId="65" fillId="0" borderId="47" xfId="0" applyFont="1" applyFill="1" applyBorder="1"/>
    <xf numFmtId="14" fontId="90" fillId="0" borderId="47" xfId="0" applyNumberFormat="1" applyFont="1" applyBorder="1"/>
    <xf numFmtId="0" fontId="72" fillId="0" borderId="64" xfId="0" applyFont="1" applyBorder="1"/>
    <xf numFmtId="0" fontId="67" fillId="7" borderId="4" xfId="0" applyFont="1" applyFill="1" applyBorder="1" applyAlignment="1">
      <alignment horizontal="center" vertical="center" wrapText="1"/>
    </xf>
    <xf numFmtId="4" fontId="65" fillId="3" borderId="0" xfId="0" applyNumberFormat="1" applyFont="1" applyFill="1"/>
    <xf numFmtId="4" fontId="72" fillId="0" borderId="0" xfId="0" applyNumberFormat="1" applyFont="1" applyFill="1"/>
    <xf numFmtId="4" fontId="64" fillId="6" borderId="130" xfId="0" applyNumberFormat="1" applyFont="1" applyFill="1" applyBorder="1" applyProtection="1">
      <protection locked="0"/>
    </xf>
    <xf numFmtId="4" fontId="64" fillId="2" borderId="130" xfId="0" applyNumberFormat="1" applyFont="1" applyFill="1" applyBorder="1"/>
    <xf numFmtId="0" fontId="44" fillId="0" borderId="130" xfId="1" applyFont="1" applyBorder="1" applyAlignment="1">
      <alignment wrapText="1"/>
    </xf>
    <xf numFmtId="0" fontId="44" fillId="0" borderId="130" xfId="1" applyFont="1" applyBorder="1"/>
    <xf numFmtId="0" fontId="44" fillId="0" borderId="129" xfId="1" applyFont="1" applyFill="1" applyBorder="1" applyAlignment="1">
      <alignment horizontal="left"/>
    </xf>
    <xf numFmtId="0" fontId="44" fillId="0" borderId="129" xfId="1" applyFont="1" applyFill="1" applyBorder="1"/>
    <xf numFmtId="0" fontId="44" fillId="0" borderId="133" xfId="1" applyFont="1" applyFill="1" applyBorder="1" applyAlignment="1">
      <alignment horizontal="left"/>
    </xf>
    <xf numFmtId="0" fontId="44" fillId="0" borderId="131" xfId="1" applyFont="1" applyFill="1" applyBorder="1" applyAlignment="1">
      <alignment horizontal="left"/>
    </xf>
    <xf numFmtId="0" fontId="44" fillId="0" borderId="133" xfId="1" applyFont="1" applyBorder="1" applyAlignment="1">
      <alignment horizontal="left"/>
    </xf>
    <xf numFmtId="0" fontId="44" fillId="0" borderId="131" xfId="1" applyFont="1" applyBorder="1" applyAlignment="1">
      <alignment horizontal="left"/>
    </xf>
    <xf numFmtId="0" fontId="44" fillId="0" borderId="134" xfId="1" applyFont="1" applyBorder="1"/>
    <xf numFmtId="0" fontId="44" fillId="0" borderId="135" xfId="1" applyFont="1" applyBorder="1"/>
    <xf numFmtId="0" fontId="44" fillId="0" borderId="133" xfId="1" applyFont="1" applyBorder="1"/>
    <xf numFmtId="0" fontId="44" fillId="0" borderId="131" xfId="1" applyFont="1" applyBorder="1"/>
    <xf numFmtId="14" fontId="65" fillId="3" borderId="0" xfId="0" applyNumberFormat="1" applyFont="1" applyFill="1"/>
    <xf numFmtId="0" fontId="90" fillId="22" borderId="0" xfId="1" applyFont="1" applyFill="1" applyAlignment="1">
      <alignment wrapText="1"/>
    </xf>
    <xf numFmtId="4" fontId="90" fillId="22" borderId="0" xfId="1" applyNumberFormat="1" applyFont="1" applyFill="1" applyAlignment="1">
      <alignment wrapText="1"/>
    </xf>
    <xf numFmtId="4" fontId="65" fillId="2" borderId="23" xfId="0" applyNumberFormat="1" applyFont="1" applyFill="1" applyBorder="1"/>
    <xf numFmtId="4" fontId="65" fillId="6" borderId="23" xfId="0" applyNumberFormat="1" applyFont="1" applyFill="1" applyBorder="1" applyProtection="1">
      <protection locked="0"/>
    </xf>
    <xf numFmtId="0" fontId="90" fillId="22" borderId="24" xfId="1" applyFont="1" applyFill="1" applyBorder="1" applyAlignment="1">
      <alignment wrapText="1"/>
    </xf>
    <xf numFmtId="4" fontId="90" fillId="22" borderId="24" xfId="1" applyNumberFormat="1" applyFont="1" applyFill="1" applyBorder="1" applyAlignment="1">
      <alignment wrapText="1"/>
    </xf>
    <xf numFmtId="4" fontId="65" fillId="2" borderId="47" xfId="0" applyNumberFormat="1" applyFont="1" applyFill="1" applyBorder="1"/>
    <xf numFmtId="4" fontId="65" fillId="6" borderId="47" xfId="0" applyNumberFormat="1" applyFont="1" applyFill="1" applyBorder="1" applyProtection="1">
      <protection locked="0"/>
    </xf>
    <xf numFmtId="0" fontId="90" fillId="22" borderId="129" xfId="1" applyFont="1" applyFill="1" applyBorder="1" applyAlignment="1">
      <alignment wrapText="1"/>
    </xf>
    <xf numFmtId="4" fontId="90" fillId="22" borderId="129" xfId="1" applyNumberFormat="1" applyFont="1" applyFill="1" applyBorder="1" applyAlignment="1">
      <alignment wrapText="1"/>
    </xf>
    <xf numFmtId="4" fontId="65" fillId="2" borderId="130" xfId="0" applyNumberFormat="1" applyFont="1" applyFill="1" applyBorder="1"/>
    <xf numFmtId="4" fontId="65" fillId="6" borderId="130" xfId="0" applyNumberFormat="1" applyFont="1" applyFill="1" applyBorder="1" applyProtection="1">
      <protection locked="0"/>
    </xf>
    <xf numFmtId="0" fontId="90" fillId="22" borderId="129" xfId="1" applyFont="1" applyFill="1" applyBorder="1"/>
    <xf numFmtId="4" fontId="90" fillId="22" borderId="129" xfId="1" applyNumberFormat="1" applyFont="1" applyFill="1" applyBorder="1"/>
    <xf numFmtId="0" fontId="139" fillId="22" borderId="91" xfId="1" applyFont="1" applyFill="1" applyBorder="1" applyAlignment="1">
      <alignment horizontal="left" vertical="top" wrapText="1"/>
    </xf>
    <xf numFmtId="0" fontId="139" fillId="22" borderId="0" xfId="1" applyFont="1" applyFill="1" applyBorder="1" applyAlignment="1">
      <alignment horizontal="left" vertical="top" wrapText="1"/>
    </xf>
    <xf numFmtId="4" fontId="139" fillId="22" borderId="0" xfId="1" applyNumberFormat="1" applyFont="1" applyFill="1" applyBorder="1" applyAlignment="1">
      <alignment horizontal="left" vertical="top" wrapText="1"/>
    </xf>
    <xf numFmtId="0" fontId="90" fillId="22" borderId="130" xfId="1" applyFont="1" applyFill="1" applyBorder="1" applyAlignment="1">
      <alignment wrapText="1"/>
    </xf>
    <xf numFmtId="0" fontId="90" fillId="22" borderId="0" xfId="1" applyFont="1" applyFill="1" applyBorder="1" applyAlignment="1">
      <alignment wrapText="1"/>
    </xf>
    <xf numFmtId="4" fontId="90" fillId="22" borderId="0" xfId="1" applyNumberFormat="1" applyFont="1" applyFill="1" applyBorder="1" applyAlignment="1">
      <alignment wrapText="1"/>
    </xf>
    <xf numFmtId="0" fontId="90" fillId="22" borderId="94" xfId="1" applyFont="1" applyFill="1" applyBorder="1" applyAlignment="1">
      <alignment wrapText="1"/>
    </xf>
    <xf numFmtId="4" fontId="90" fillId="22" borderId="94" xfId="1" applyNumberFormat="1" applyFont="1" applyFill="1" applyBorder="1" applyAlignment="1">
      <alignment wrapText="1"/>
    </xf>
    <xf numFmtId="0" fontId="90" fillId="22" borderId="132" xfId="1" applyFont="1" applyFill="1" applyBorder="1"/>
    <xf numFmtId="4" fontId="90" fillId="22" borderId="132" xfId="1" applyNumberFormat="1" applyFont="1" applyFill="1" applyBorder="1"/>
    <xf numFmtId="0" fontId="90" fillId="22" borderId="130" xfId="1" applyFont="1" applyFill="1" applyBorder="1"/>
    <xf numFmtId="0" fontId="90" fillId="22" borderId="0" xfId="1" applyFont="1" applyFill="1" applyBorder="1"/>
    <xf numFmtId="4" fontId="90" fillId="22" borderId="0" xfId="1" applyNumberFormat="1" applyFont="1" applyFill="1" applyBorder="1"/>
    <xf numFmtId="0" fontId="90" fillId="22" borderId="0" xfId="1" applyFont="1" applyFill="1"/>
    <xf numFmtId="4" fontId="90" fillId="22" borderId="0" xfId="1" applyNumberFormat="1" applyFont="1" applyFill="1"/>
    <xf numFmtId="0" fontId="90" fillId="22" borderId="131" xfId="1" applyFont="1" applyFill="1" applyBorder="1" applyAlignment="1">
      <alignment wrapText="1"/>
    </xf>
    <xf numFmtId="4" fontId="90" fillId="22" borderId="131" xfId="1" applyNumberFormat="1" applyFont="1" applyFill="1" applyBorder="1" applyAlignment="1">
      <alignment wrapText="1"/>
    </xf>
    <xf numFmtId="0" fontId="90" fillId="22" borderId="130" xfId="1" applyFont="1" applyFill="1" applyBorder="1" applyAlignment="1">
      <alignment horizontal="justify" vertical="center"/>
    </xf>
    <xf numFmtId="0" fontId="90" fillId="22" borderId="0" xfId="1" applyFont="1" applyFill="1" applyBorder="1" applyAlignment="1">
      <alignment horizontal="justify" vertical="center"/>
    </xf>
    <xf numFmtId="4" fontId="90" fillId="22" borderId="0" xfId="1" applyNumberFormat="1" applyFont="1" applyFill="1" applyBorder="1" applyAlignment="1">
      <alignment horizontal="justify" vertical="center"/>
    </xf>
    <xf numFmtId="0" fontId="90" fillId="0" borderId="130" xfId="1" applyFont="1" applyBorder="1" applyAlignment="1">
      <alignment wrapText="1"/>
    </xf>
    <xf numFmtId="0" fontId="90" fillId="0" borderId="0" xfId="1" applyFont="1" applyBorder="1" applyAlignment="1">
      <alignment wrapText="1"/>
    </xf>
    <xf numFmtId="4" fontId="90" fillId="0" borderId="0" xfId="1" applyNumberFormat="1" applyFont="1" applyBorder="1" applyAlignment="1">
      <alignment wrapText="1"/>
    </xf>
    <xf numFmtId="0" fontId="90" fillId="0" borderId="130" xfId="1" applyFont="1" applyBorder="1"/>
    <xf numFmtId="0" fontId="90" fillId="0" borderId="0" xfId="1" applyFont="1" applyBorder="1"/>
    <xf numFmtId="0" fontId="90" fillId="22" borderId="129" xfId="1" applyFont="1" applyFill="1" applyBorder="1" applyAlignment="1">
      <alignment horizontal="left"/>
    </xf>
    <xf numFmtId="4" fontId="90" fillId="22" borderId="129" xfId="1" applyNumberFormat="1" applyFont="1" applyFill="1" applyBorder="1" applyAlignment="1">
      <alignment horizontal="left"/>
    </xf>
    <xf numFmtId="0" fontId="90" fillId="0" borderId="129" xfId="1" applyFont="1" applyFill="1" applyBorder="1" applyAlignment="1">
      <alignment horizontal="left"/>
    </xf>
    <xf numFmtId="4" fontId="90" fillId="0" borderId="129" xfId="1" applyNumberFormat="1" applyFont="1" applyFill="1" applyBorder="1" applyAlignment="1">
      <alignment horizontal="left"/>
    </xf>
    <xf numFmtId="0" fontId="90" fillId="22" borderId="132" xfId="1" applyFont="1" applyFill="1" applyBorder="1" applyAlignment="1">
      <alignment horizontal="left" wrapText="1"/>
    </xf>
    <xf numFmtId="4" fontId="90" fillId="22" borderId="132" xfId="1" applyNumberFormat="1" applyFont="1" applyFill="1" applyBorder="1" applyAlignment="1">
      <alignment horizontal="left" wrapText="1"/>
    </xf>
    <xf numFmtId="0" fontId="90" fillId="0" borderId="129" xfId="1" applyFont="1" applyFill="1" applyBorder="1"/>
    <xf numFmtId="4" fontId="90" fillId="0" borderId="129" xfId="1" applyNumberFormat="1" applyFont="1" applyFill="1" applyBorder="1"/>
    <xf numFmtId="0" fontId="65" fillId="8" borderId="133" xfId="0" applyFont="1" applyFill="1" applyBorder="1" applyAlignment="1">
      <alignment horizontal="left"/>
    </xf>
    <xf numFmtId="0" fontId="65" fillId="8" borderId="131" xfId="0" applyFont="1" applyFill="1" applyBorder="1" applyAlignment="1">
      <alignment horizontal="left"/>
    </xf>
    <xf numFmtId="4" fontId="65" fillId="8" borderId="129" xfId="0" applyNumberFormat="1" applyFont="1" applyFill="1" applyBorder="1" applyAlignment="1">
      <alignment horizontal="right"/>
    </xf>
    <xf numFmtId="4" fontId="90" fillId="0" borderId="0" xfId="1" applyNumberFormat="1" applyFont="1"/>
    <xf numFmtId="0" fontId="90" fillId="0" borderId="133" xfId="1" applyFont="1" applyFill="1" applyBorder="1" applyAlignment="1">
      <alignment horizontal="left"/>
    </xf>
    <xf numFmtId="0" fontId="90" fillId="0" borderId="131" xfId="1" applyFont="1" applyFill="1" applyBorder="1" applyAlignment="1">
      <alignment horizontal="left"/>
    </xf>
    <xf numFmtId="0" fontId="90" fillId="0" borderId="133" xfId="1" applyFont="1" applyBorder="1" applyAlignment="1">
      <alignment horizontal="left"/>
    </xf>
    <xf numFmtId="0" fontId="90" fillId="0" borderId="131" xfId="1" applyFont="1" applyBorder="1" applyAlignment="1">
      <alignment horizontal="left"/>
    </xf>
    <xf numFmtId="0" fontId="90" fillId="0" borderId="134" xfId="1" applyFont="1" applyBorder="1"/>
    <xf numFmtId="0" fontId="90" fillId="0" borderId="135" xfId="1" applyFont="1" applyBorder="1"/>
    <xf numFmtId="0" fontId="90" fillId="0" borderId="133" xfId="1" applyFont="1" applyBorder="1"/>
    <xf numFmtId="0" fontId="90" fillId="0" borderId="131" xfId="1" applyFont="1" applyBorder="1"/>
    <xf numFmtId="0" fontId="1" fillId="3" borderId="0" xfId="0" applyFont="1" applyFill="1"/>
    <xf numFmtId="14" fontId="1" fillId="3" borderId="0" xfId="0" applyNumberFormat="1" applyFont="1" applyFill="1"/>
    <xf numFmtId="165" fontId="1" fillId="3" borderId="0" xfId="0" applyNumberFormat="1" applyFont="1" applyFill="1" applyBorder="1"/>
    <xf numFmtId="1" fontId="1" fillId="3" borderId="0" xfId="0" applyNumberFormat="1" applyFont="1" applyFill="1" applyBorder="1"/>
    <xf numFmtId="0" fontId="44" fillId="2" borderId="129" xfId="1" applyFont="1" applyFill="1" applyBorder="1" applyAlignment="1">
      <alignment wrapText="1"/>
    </xf>
    <xf numFmtId="0" fontId="44" fillId="2" borderId="129" xfId="1" applyFont="1" applyFill="1" applyBorder="1"/>
    <xf numFmtId="0" fontId="44" fillId="2" borderId="130" xfId="1" applyFont="1" applyFill="1" applyBorder="1" applyAlignment="1">
      <alignment wrapText="1"/>
    </xf>
    <xf numFmtId="0" fontId="44" fillId="2" borderId="132" xfId="1" applyFont="1" applyFill="1" applyBorder="1"/>
    <xf numFmtId="0" fontId="44" fillId="2" borderId="130" xfId="1" applyFont="1" applyFill="1" applyBorder="1"/>
    <xf numFmtId="0" fontId="44" fillId="0" borderId="129" xfId="1" applyFont="1" applyBorder="1"/>
    <xf numFmtId="0" fontId="44" fillId="0" borderId="129" xfId="1" applyFont="1" applyBorder="1" applyAlignment="1">
      <alignment wrapText="1"/>
    </xf>
    <xf numFmtId="0" fontId="44" fillId="0" borderId="131" xfId="1" applyFont="1" applyBorder="1" applyAlignment="1">
      <alignment wrapText="1"/>
    </xf>
    <xf numFmtId="0" fontId="44" fillId="0" borderId="130" xfId="1" applyFont="1" applyBorder="1" applyAlignment="1">
      <alignment horizontal="justify" vertical="center"/>
    </xf>
    <xf numFmtId="0" fontId="50" fillId="0" borderId="129" xfId="1" applyFont="1" applyBorder="1"/>
    <xf numFmtId="0" fontId="44" fillId="0" borderId="132" xfId="1" applyFont="1" applyFill="1" applyBorder="1" applyAlignment="1">
      <alignment horizontal="left" wrapText="1"/>
    </xf>
    <xf numFmtId="0" fontId="0" fillId="8" borderId="133" xfId="0" applyFont="1" applyFill="1" applyBorder="1" applyAlignment="1">
      <alignment horizontal="left"/>
    </xf>
    <xf numFmtId="0" fontId="0" fillId="8" borderId="131" xfId="0" applyFont="1" applyFill="1" applyBorder="1" applyAlignment="1">
      <alignment horizontal="left"/>
    </xf>
    <xf numFmtId="0" fontId="122" fillId="0" borderId="0" xfId="0" applyFont="1" applyFill="1"/>
    <xf numFmtId="3" fontId="61" fillId="0" borderId="0" xfId="0" applyNumberFormat="1" applyFont="1" applyFill="1"/>
    <xf numFmtId="0" fontId="61" fillId="0" borderId="0" xfId="0" applyFont="1" applyFill="1"/>
    <xf numFmtId="0" fontId="81" fillId="0" borderId="0" xfId="0" applyFont="1" applyAlignment="1">
      <alignment horizontal="center" vertical="center" wrapText="1"/>
    </xf>
    <xf numFmtId="3" fontId="141" fillId="0" borderId="0" xfId="0" applyNumberFormat="1" applyFont="1" applyAlignment="1">
      <alignment horizontal="center" vertical="center"/>
    </xf>
    <xf numFmtId="0" fontId="58" fillId="0" borderId="0" xfId="0" applyFont="1" applyFill="1"/>
    <xf numFmtId="0" fontId="119" fillId="0" borderId="0" xfId="0" applyFont="1" applyFill="1"/>
    <xf numFmtId="0" fontId="58" fillId="0" borderId="0" xfId="0" applyFont="1"/>
    <xf numFmtId="0" fontId="58" fillId="0" borderId="0" xfId="0" applyFont="1" applyAlignment="1">
      <alignment horizontal="center" vertical="center" wrapText="1"/>
    </xf>
    <xf numFmtId="0" fontId="142" fillId="9" borderId="29" xfId="1" applyFont="1" applyFill="1" applyBorder="1" applyAlignment="1">
      <alignment horizontal="center"/>
    </xf>
    <xf numFmtId="3" fontId="142" fillId="16" borderId="92" xfId="1" applyNumberFormat="1" applyFont="1" applyFill="1" applyBorder="1" applyAlignment="1"/>
    <xf numFmtId="3" fontId="142" fillId="10" borderId="88" xfId="1" applyNumberFormat="1" applyFont="1" applyFill="1" applyBorder="1" applyAlignment="1">
      <alignment horizontal="left"/>
    </xf>
    <xf numFmtId="3" fontId="143" fillId="0" borderId="119" xfId="1" applyNumberFormat="1" applyFont="1" applyFill="1" applyBorder="1" applyAlignment="1">
      <alignment horizontal="center"/>
    </xf>
    <xf numFmtId="3" fontId="142" fillId="0" borderId="88" xfId="1" applyNumberFormat="1" applyFont="1" applyFill="1" applyBorder="1" applyAlignment="1">
      <alignment horizontal="center"/>
    </xf>
    <xf numFmtId="3" fontId="143" fillId="0" borderId="88" xfId="1" applyNumberFormat="1" applyFont="1" applyBorder="1" applyAlignment="1">
      <alignment horizontal="center"/>
    </xf>
    <xf numFmtId="3" fontId="142" fillId="10" borderId="88" xfId="1" applyNumberFormat="1" applyFont="1" applyFill="1" applyBorder="1" applyAlignment="1">
      <alignment horizontal="center"/>
    </xf>
    <xf numFmtId="3" fontId="142" fillId="0" borderId="88" xfId="1" applyNumberFormat="1" applyFont="1" applyBorder="1" applyAlignment="1">
      <alignment horizontal="center"/>
    </xf>
    <xf numFmtId="3" fontId="142" fillId="0" borderId="94" xfId="1" applyNumberFormat="1" applyFont="1" applyFill="1" applyBorder="1" applyAlignment="1">
      <alignment horizontal="center"/>
    </xf>
    <xf numFmtId="3" fontId="144" fillId="0" borderId="0" xfId="1" applyNumberFormat="1" applyFont="1" applyFill="1" applyBorder="1" applyAlignment="1">
      <alignment horizontal="center"/>
    </xf>
    <xf numFmtId="3" fontId="145" fillId="17" borderId="127" xfId="1" applyNumberFormat="1" applyFont="1" applyFill="1" applyBorder="1" applyAlignment="1">
      <alignment horizontal="center"/>
    </xf>
    <xf numFmtId="3" fontId="145" fillId="17" borderId="26" xfId="1" applyNumberFormat="1" applyFont="1" applyFill="1" applyBorder="1" applyAlignment="1">
      <alignment horizontal="center"/>
    </xf>
    <xf numFmtId="0" fontId="140" fillId="0" borderId="0" xfId="1" applyFont="1"/>
    <xf numFmtId="0" fontId="145" fillId="0" borderId="0" xfId="1" applyFont="1" applyAlignment="1">
      <alignment horizontal="right"/>
    </xf>
    <xf numFmtId="0" fontId="142" fillId="0" borderId="115" xfId="1" applyFont="1" applyFill="1" applyBorder="1" applyAlignment="1">
      <alignment horizontal="center"/>
    </xf>
    <xf numFmtId="3" fontId="142" fillId="10" borderId="117" xfId="1" applyNumberFormat="1" applyFont="1" applyFill="1" applyBorder="1" applyAlignment="1">
      <alignment horizontal="left"/>
    </xf>
    <xf numFmtId="3" fontId="142" fillId="0" borderId="117" xfId="1" applyNumberFormat="1" applyFont="1" applyBorder="1" applyAlignment="1">
      <alignment horizontal="center"/>
    </xf>
    <xf numFmtId="3" fontId="140" fillId="0" borderId="18" xfId="1" applyNumberFormat="1" applyFont="1" applyBorder="1"/>
    <xf numFmtId="3" fontId="142" fillId="16" borderId="115" xfId="1" applyNumberFormat="1" applyFont="1" applyFill="1" applyBorder="1" applyAlignment="1"/>
    <xf numFmtId="3" fontId="144" fillId="10" borderId="117" xfId="1" applyNumberFormat="1" applyFont="1" applyFill="1" applyBorder="1" applyAlignment="1">
      <alignment horizontal="left"/>
    </xf>
    <xf numFmtId="3" fontId="143" fillId="0" borderId="117" xfId="1" applyNumberFormat="1" applyFont="1" applyBorder="1"/>
    <xf numFmtId="3" fontId="142" fillId="0" borderId="117" xfId="1" applyNumberFormat="1" applyFont="1" applyFill="1" applyBorder="1" applyAlignment="1">
      <alignment horizontal="center"/>
    </xf>
    <xf numFmtId="3" fontId="143" fillId="0" borderId="115" xfId="1" applyNumberFormat="1" applyFont="1" applyBorder="1"/>
    <xf numFmtId="3" fontId="142" fillId="10" borderId="115" xfId="1" applyNumberFormat="1" applyFont="1" applyFill="1" applyBorder="1" applyAlignment="1">
      <alignment horizontal="left"/>
    </xf>
    <xf numFmtId="3" fontId="143" fillId="0" borderId="117" xfId="1" applyNumberFormat="1" applyFont="1" applyFill="1" applyBorder="1"/>
    <xf numFmtId="3" fontId="142" fillId="10" borderId="117" xfId="1" applyNumberFormat="1" applyFont="1" applyFill="1" applyBorder="1" applyAlignment="1"/>
    <xf numFmtId="3" fontId="144" fillId="0" borderId="126" xfId="1" applyNumberFormat="1" applyFont="1" applyFill="1" applyBorder="1"/>
    <xf numFmtId="3" fontId="145" fillId="17" borderId="126" xfId="1" applyNumberFormat="1" applyFont="1" applyFill="1" applyBorder="1" applyAlignment="1">
      <alignment horizontal="center"/>
    </xf>
    <xf numFmtId="3" fontId="145" fillId="2" borderId="41" xfId="1" applyNumberFormat="1" applyFont="1" applyFill="1" applyBorder="1" applyAlignment="1">
      <alignment horizontal="center"/>
    </xf>
    <xf numFmtId="1" fontId="140" fillId="0" borderId="0" xfId="1" applyNumberFormat="1" applyFont="1" applyBorder="1" applyAlignment="1">
      <alignment horizontal="center"/>
    </xf>
    <xf numFmtId="0" fontId="44" fillId="0" borderId="0" xfId="1" applyBorder="1"/>
    <xf numFmtId="3" fontId="88" fillId="0" borderId="0" xfId="1" applyNumberFormat="1" applyFont="1" applyBorder="1" applyAlignment="1">
      <alignment horizontal="center" wrapText="1"/>
    </xf>
    <xf numFmtId="0" fontId="47" fillId="0" borderId="0" xfId="1" applyFont="1" applyBorder="1" applyAlignment="1">
      <alignment horizontal="center" vertical="center"/>
    </xf>
    <xf numFmtId="3" fontId="44" fillId="0" borderId="30" xfId="1" applyNumberFormat="1" applyBorder="1"/>
    <xf numFmtId="3" fontId="50" fillId="0" borderId="43" xfId="1" applyNumberFormat="1" applyFont="1" applyBorder="1"/>
    <xf numFmtId="3" fontId="50" fillId="0" borderId="44" xfId="1" applyNumberFormat="1" applyFont="1" applyBorder="1"/>
    <xf numFmtId="3" fontId="45" fillId="19" borderId="6" xfId="1" applyNumberFormat="1" applyFont="1" applyFill="1" applyBorder="1"/>
    <xf numFmtId="3" fontId="89" fillId="19" borderId="45" xfId="1" applyNumberFormat="1" applyFont="1" applyFill="1" applyBorder="1" applyAlignment="1">
      <alignment horizontal="center"/>
    </xf>
    <xf numFmtId="3" fontId="30" fillId="13" borderId="0" xfId="0" applyNumberFormat="1" applyFont="1" applyFill="1"/>
    <xf numFmtId="14" fontId="148" fillId="0" borderId="130" xfId="0" applyNumberFormat="1" applyFont="1" applyBorder="1"/>
    <xf numFmtId="0" fontId="149" fillId="0" borderId="130" xfId="0" applyFont="1" applyBorder="1" applyAlignment="1">
      <alignment wrapText="1"/>
    </xf>
    <xf numFmtId="4" fontId="148" fillId="0" borderId="130" xfId="0" applyNumberFormat="1" applyFont="1" applyBorder="1"/>
    <xf numFmtId="3" fontId="0" fillId="13" borderId="106" xfId="0" applyNumberFormat="1" applyFill="1" applyBorder="1"/>
    <xf numFmtId="3" fontId="0" fillId="21" borderId="87" xfId="0" applyNumberFormat="1" applyFill="1" applyBorder="1"/>
    <xf numFmtId="3" fontId="0" fillId="2" borderId="87" xfId="0" applyNumberFormat="1" applyFill="1" applyBorder="1"/>
    <xf numFmtId="0" fontId="76" fillId="0" borderId="130" xfId="0" applyFont="1" applyBorder="1" applyAlignment="1">
      <alignment wrapText="1"/>
    </xf>
    <xf numFmtId="0" fontId="83" fillId="15" borderId="0" xfId="0" applyFont="1" applyFill="1"/>
    <xf numFmtId="3" fontId="63" fillId="15" borderId="0" xfId="0" applyNumberFormat="1" applyFont="1" applyFill="1"/>
    <xf numFmtId="3" fontId="63" fillId="15" borderId="0" xfId="0" applyNumberFormat="1" applyFont="1" applyFill="1" applyBorder="1"/>
    <xf numFmtId="3" fontId="150" fillId="6" borderId="53" xfId="0" applyNumberFormat="1" applyFont="1" applyFill="1" applyBorder="1" applyAlignment="1">
      <alignment horizontal="right"/>
    </xf>
    <xf numFmtId="4" fontId="150" fillId="2" borderId="65" xfId="0" applyNumberFormat="1" applyFont="1" applyFill="1" applyBorder="1" applyAlignment="1">
      <alignment horizontal="right"/>
    </xf>
    <xf numFmtId="4" fontId="150" fillId="6" borderId="66" xfId="0" applyNumberFormat="1" applyFont="1" applyFill="1" applyBorder="1" applyAlignment="1">
      <alignment horizontal="right"/>
    </xf>
    <xf numFmtId="0" fontId="151" fillId="0" borderId="0" xfId="0" applyFont="1"/>
    <xf numFmtId="0" fontId="151" fillId="0" borderId="0" xfId="0" applyFont="1" applyFill="1"/>
    <xf numFmtId="3" fontId="74" fillId="2" borderId="60" xfId="0" applyNumberFormat="1" applyFont="1" applyFill="1" applyBorder="1" applyAlignment="1">
      <alignment horizontal="right"/>
    </xf>
    <xf numFmtId="0" fontId="150" fillId="0" borderId="0" xfId="0" applyFont="1" applyFill="1" applyBorder="1"/>
    <xf numFmtId="0" fontId="150" fillId="0" borderId="0" xfId="0" applyFont="1" applyBorder="1"/>
    <xf numFmtId="0" fontId="152" fillId="0" borderId="0" xfId="0" applyFont="1" applyAlignment="1">
      <alignment horizontal="center" vertical="center" wrapText="1"/>
    </xf>
    <xf numFmtId="3" fontId="153" fillId="0" borderId="0" xfId="0" applyNumberFormat="1" applyFont="1" applyFill="1" applyAlignment="1">
      <alignment horizontal="center"/>
    </xf>
    <xf numFmtId="0" fontId="153" fillId="0" borderId="0" xfId="0" applyFont="1" applyFill="1" applyAlignment="1">
      <alignment horizontal="center"/>
    </xf>
    <xf numFmtId="0" fontId="153" fillId="0" borderId="107" xfId="0" applyFont="1" applyFill="1" applyBorder="1" applyAlignment="1">
      <alignment horizontal="center"/>
    </xf>
    <xf numFmtId="3" fontId="153" fillId="0" borderId="136" xfId="0" applyNumberFormat="1" applyFont="1" applyFill="1" applyBorder="1" applyAlignment="1">
      <alignment horizontal="center"/>
    </xf>
    <xf numFmtId="3" fontId="153" fillId="0" borderId="107" xfId="0" applyNumberFormat="1" applyFont="1" applyFill="1" applyBorder="1" applyAlignment="1">
      <alignment horizontal="center"/>
    </xf>
    <xf numFmtId="3" fontId="30" fillId="0" borderId="0" xfId="0" applyNumberFormat="1" applyFont="1"/>
    <xf numFmtId="0" fontId="30" fillId="2" borderId="39" xfId="0" applyFont="1" applyFill="1" applyBorder="1"/>
    <xf numFmtId="3" fontId="30" fillId="2" borderId="137" xfId="0" applyNumberFormat="1" applyFont="1" applyFill="1" applyBorder="1" applyAlignment="1">
      <alignment horizontal="right"/>
    </xf>
    <xf numFmtId="3" fontId="120" fillId="2" borderId="26" xfId="0" applyNumberFormat="1" applyFont="1" applyFill="1" applyBorder="1" applyAlignment="1">
      <alignment horizontal="right"/>
    </xf>
    <xf numFmtId="0" fontId="0" fillId="2" borderId="107" xfId="0" applyFill="1" applyBorder="1" applyAlignment="1">
      <alignment horizontal="left"/>
    </xf>
    <xf numFmtId="4" fontId="30" fillId="0" borderId="0" xfId="0" applyNumberFormat="1" applyFont="1" applyFill="1" applyBorder="1" applyAlignment="1">
      <alignment horizontal="right"/>
    </xf>
    <xf numFmtId="0" fontId="152" fillId="0" borderId="0" xfId="0" applyFont="1" applyFill="1" applyAlignment="1">
      <alignment horizontal="center" vertical="center" wrapText="1"/>
    </xf>
    <xf numFmtId="0" fontId="30" fillId="6" borderId="38" xfId="0" applyFont="1" applyFill="1" applyBorder="1" applyAlignment="1">
      <alignment horizontal="left"/>
    </xf>
    <xf numFmtId="0" fontId="30" fillId="6" borderId="39" xfId="0" applyFont="1" applyFill="1" applyBorder="1"/>
    <xf numFmtId="3" fontId="153" fillId="0" borderId="55" xfId="0" applyNumberFormat="1" applyFont="1" applyFill="1" applyBorder="1" applyAlignment="1">
      <alignment horizontal="center"/>
    </xf>
    <xf numFmtId="0" fontId="0" fillId="0" borderId="64" xfId="0" applyFont="1" applyBorder="1" applyAlignment="1">
      <alignment horizontal="center"/>
    </xf>
    <xf numFmtId="4" fontId="75" fillId="0" borderId="0" xfId="6" applyNumberFormat="1" applyBorder="1"/>
    <xf numFmtId="4" fontId="75" fillId="0" borderId="107" xfId="6" applyNumberFormat="1" applyBorder="1"/>
    <xf numFmtId="0" fontId="0" fillId="8" borderId="89" xfId="0" applyFont="1" applyFill="1" applyBorder="1" applyAlignment="1">
      <alignment horizontal="left"/>
    </xf>
    <xf numFmtId="0" fontId="0" fillId="8" borderId="92" xfId="0" applyFont="1" applyFill="1" applyBorder="1" applyAlignment="1">
      <alignment horizontal="left"/>
    </xf>
    <xf numFmtId="4" fontId="0" fillId="8" borderId="88" xfId="0" applyNumberFormat="1" applyFont="1" applyFill="1" applyBorder="1" applyAlignment="1">
      <alignment horizontal="right"/>
    </xf>
    <xf numFmtId="0" fontId="44" fillId="7" borderId="88" xfId="1" applyFont="1" applyFill="1" applyBorder="1"/>
    <xf numFmtId="4" fontId="44" fillId="7" borderId="88" xfId="1" applyNumberFormat="1" applyFont="1" applyFill="1" applyBorder="1"/>
    <xf numFmtId="4" fontId="44" fillId="7" borderId="88" xfId="1" applyNumberFormat="1" applyFont="1" applyFill="1" applyBorder="1" applyAlignment="1">
      <alignment horizontal="right"/>
    </xf>
    <xf numFmtId="0" fontId="44" fillId="7" borderId="89" xfId="1" applyFont="1" applyFill="1" applyBorder="1"/>
    <xf numFmtId="0" fontId="44" fillId="7" borderId="92" xfId="1" applyFont="1" applyFill="1" applyBorder="1"/>
    <xf numFmtId="0" fontId="44" fillId="22" borderId="88" xfId="1" applyFont="1" applyFill="1" applyBorder="1" applyAlignment="1">
      <alignment wrapText="1"/>
    </xf>
    <xf numFmtId="4" fontId="44" fillId="22" borderId="88" xfId="1" applyNumberFormat="1" applyFont="1" applyFill="1" applyBorder="1" applyAlignment="1">
      <alignment wrapText="1"/>
    </xf>
    <xf numFmtId="4" fontId="44" fillId="22" borderId="88" xfId="1" applyNumberFormat="1" applyFont="1" applyFill="1" applyBorder="1" applyAlignment="1">
      <alignment horizontal="right"/>
    </xf>
    <xf numFmtId="4" fontId="44" fillId="22" borderId="88" xfId="1" applyNumberFormat="1" applyFill="1" applyBorder="1" applyAlignment="1">
      <alignment horizontal="right"/>
    </xf>
    <xf numFmtId="0" fontId="44" fillId="22" borderId="88" xfId="1" applyFont="1" applyFill="1" applyBorder="1" applyAlignment="1">
      <alignment horizontal="left"/>
    </xf>
    <xf numFmtId="4" fontId="44" fillId="22" borderId="88" xfId="1" applyNumberFormat="1" applyFont="1" applyFill="1" applyBorder="1" applyAlignment="1">
      <alignment horizontal="left"/>
    </xf>
    <xf numFmtId="0" fontId="50" fillId="22" borderId="88" xfId="1" applyFont="1" applyFill="1" applyBorder="1"/>
    <xf numFmtId="4" fontId="50" fillId="22" borderId="88" xfId="1" applyNumberFormat="1" applyFont="1" applyFill="1" applyBorder="1"/>
    <xf numFmtId="4" fontId="50" fillId="22" borderId="88" xfId="1" applyNumberFormat="1" applyFont="1" applyFill="1" applyBorder="1" applyAlignment="1">
      <alignment horizontal="right"/>
    </xf>
    <xf numFmtId="0" fontId="149" fillId="0" borderId="130" xfId="6" applyFont="1" applyBorder="1" applyAlignment="1">
      <alignment wrapText="1"/>
    </xf>
    <xf numFmtId="4" fontId="148" fillId="0" borderId="130" xfId="6" applyNumberFormat="1" applyFont="1" applyBorder="1"/>
    <xf numFmtId="14" fontId="148" fillId="0" borderId="130" xfId="6" applyNumberFormat="1" applyFont="1" applyBorder="1"/>
    <xf numFmtId="0" fontId="9" fillId="0" borderId="0" xfId="0" applyFont="1" applyFill="1" applyBorder="1"/>
    <xf numFmtId="4" fontId="148" fillId="0" borderId="130" xfId="6" applyNumberFormat="1" applyFont="1" applyBorder="1"/>
    <xf numFmtId="0" fontId="75" fillId="0" borderId="0" xfId="6"/>
    <xf numFmtId="4" fontId="148" fillId="0" borderId="130" xfId="6" applyNumberFormat="1" applyFont="1" applyBorder="1"/>
    <xf numFmtId="0" fontId="29" fillId="3" borderId="47" xfId="0" applyFont="1" applyFill="1" applyBorder="1"/>
    <xf numFmtId="14" fontId="101" fillId="0" borderId="93" xfId="0" applyNumberFormat="1" applyFont="1" applyBorder="1"/>
    <xf numFmtId="14" fontId="135" fillId="0" borderId="23" xfId="0" applyNumberFormat="1" applyFont="1" applyBorder="1"/>
    <xf numFmtId="14" fontId="135" fillId="0" borderId="47" xfId="0" applyNumberFormat="1" applyFont="1" applyBorder="1"/>
    <xf numFmtId="14" fontId="148" fillId="0" borderId="93" xfId="0" applyNumberFormat="1" applyFont="1" applyBorder="1"/>
    <xf numFmtId="14" fontId="44" fillId="0" borderId="130" xfId="0" applyNumberFormat="1" applyFont="1" applyBorder="1"/>
    <xf numFmtId="0" fontId="102" fillId="0" borderId="93" xfId="0" applyFont="1" applyBorder="1" applyAlignment="1">
      <alignment wrapText="1"/>
    </xf>
    <xf numFmtId="0" fontId="136" fillId="0" borderId="23" xfId="0" applyFont="1" applyBorder="1" applyAlignment="1">
      <alignment wrapText="1"/>
    </xf>
    <xf numFmtId="0" fontId="0" fillId="0" borderId="93" xfId="0" applyBorder="1"/>
    <xf numFmtId="0" fontId="149" fillId="0" borderId="93" xfId="0" applyFont="1" applyBorder="1" applyAlignment="1">
      <alignment wrapText="1"/>
    </xf>
    <xf numFmtId="0" fontId="29" fillId="11" borderId="93" xfId="0" applyFont="1" applyFill="1" applyBorder="1"/>
    <xf numFmtId="0" fontId="29" fillId="3" borderId="93" xfId="0" applyFont="1" applyFill="1" applyBorder="1"/>
    <xf numFmtId="4" fontId="148" fillId="0" borderId="0" xfId="0" applyNumberFormat="1" applyFont="1" applyBorder="1"/>
    <xf numFmtId="0" fontId="29" fillId="3" borderId="130" xfId="0" applyFont="1" applyFill="1" applyBorder="1"/>
    <xf numFmtId="4" fontId="135" fillId="0" borderId="23" xfId="0" applyNumberFormat="1" applyFont="1" applyBorder="1"/>
    <xf numFmtId="4" fontId="0" fillId="0" borderId="93" xfId="0" applyNumberFormat="1" applyBorder="1"/>
    <xf numFmtId="4" fontId="135" fillId="6" borderId="0" xfId="0" applyNumberFormat="1" applyFont="1" applyFill="1" applyBorder="1"/>
    <xf numFmtId="4" fontId="148" fillId="0" borderId="93" xfId="0" applyNumberFormat="1" applyFont="1" applyBorder="1"/>
    <xf numFmtId="4" fontId="44" fillId="0" borderId="130" xfId="0" applyNumberFormat="1" applyFont="1" applyBorder="1"/>
    <xf numFmtId="0" fontId="40" fillId="7" borderId="0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79" fillId="6" borderId="0" xfId="0" applyFont="1" applyFill="1" applyAlignment="1">
      <alignment horizontal="center"/>
    </xf>
    <xf numFmtId="0" fontId="30" fillId="0" borderId="53" xfId="0" applyFont="1" applyBorder="1" applyAlignment="1">
      <alignment horizontal="center"/>
    </xf>
    <xf numFmtId="3" fontId="30" fillId="0" borderId="53" xfId="0" applyNumberFormat="1" applyFont="1" applyFill="1" applyBorder="1"/>
    <xf numFmtId="3" fontId="30" fillId="6" borderId="53" xfId="0" applyNumberFormat="1" applyFont="1" applyFill="1" applyBorder="1"/>
    <xf numFmtId="0" fontId="30" fillId="0" borderId="53" xfId="0" applyFont="1" applyBorder="1"/>
    <xf numFmtId="3" fontId="63" fillId="15" borderId="53" xfId="0" applyNumberFormat="1" applyFont="1" applyFill="1" applyBorder="1"/>
    <xf numFmtId="0" fontId="149" fillId="0" borderId="130" xfId="6" applyFont="1" applyBorder="1" applyAlignment="1">
      <alignment horizontal="left" wrapText="1"/>
    </xf>
    <xf numFmtId="4" fontId="37" fillId="8" borderId="0" xfId="6" applyNumberFormat="1" applyFont="1" applyFill="1"/>
    <xf numFmtId="0" fontId="76" fillId="0" borderId="130" xfId="6" applyFont="1" applyBorder="1" applyAlignment="1">
      <alignment horizontal="left" vertical="center" wrapText="1"/>
    </xf>
    <xf numFmtId="4" fontId="75" fillId="0" borderId="55" xfId="6" applyNumberFormat="1" applyBorder="1"/>
    <xf numFmtId="4" fontId="75" fillId="0" borderId="18" xfId="6" applyNumberFormat="1" applyBorder="1"/>
    <xf numFmtId="4" fontId="75" fillId="0" borderId="136" xfId="6" applyNumberFormat="1" applyBorder="1"/>
    <xf numFmtId="0" fontId="75" fillId="0" borderId="18" xfId="6" applyBorder="1"/>
    <xf numFmtId="0" fontId="75" fillId="0" borderId="52" xfId="6" applyBorder="1"/>
    <xf numFmtId="0" fontId="0" fillId="11" borderId="64" xfId="0" applyFont="1" applyFill="1" applyBorder="1" applyAlignment="1">
      <alignment horizontal="center"/>
    </xf>
    <xf numFmtId="4" fontId="75" fillId="11" borderId="5" xfId="6" applyNumberFormat="1" applyFill="1" applyBorder="1"/>
    <xf numFmtId="4" fontId="75" fillId="0" borderId="30" xfId="6" applyNumberFormat="1" applyBorder="1"/>
    <xf numFmtId="4" fontId="75" fillId="0" borderId="6" xfId="6" applyNumberFormat="1" applyBorder="1"/>
    <xf numFmtId="4" fontId="75" fillId="0" borderId="42" xfId="6" applyNumberFormat="1" applyBorder="1"/>
    <xf numFmtId="0" fontId="0" fillId="21" borderId="64" xfId="0" applyFont="1" applyFill="1" applyBorder="1" applyAlignment="1">
      <alignment horizontal="center"/>
    </xf>
    <xf numFmtId="4" fontId="75" fillId="21" borderId="5" xfId="6" applyNumberFormat="1" applyFill="1" applyBorder="1"/>
    <xf numFmtId="0" fontId="0" fillId="24" borderId="64" xfId="0" applyFont="1" applyFill="1" applyBorder="1" applyAlignment="1">
      <alignment horizontal="center"/>
    </xf>
    <xf numFmtId="4" fontId="75" fillId="0" borderId="103" xfId="6" applyNumberFormat="1" applyBorder="1"/>
    <xf numFmtId="0" fontId="75" fillId="0" borderId="105" xfId="6" applyBorder="1"/>
    <xf numFmtId="4" fontId="75" fillId="0" borderId="53" xfId="6" applyNumberFormat="1" applyBorder="1"/>
    <xf numFmtId="0" fontId="75" fillId="0" borderId="21" xfId="6" applyBorder="1"/>
    <xf numFmtId="0" fontId="75" fillId="0" borderId="108" xfId="6" applyBorder="1"/>
    <xf numFmtId="4" fontId="75" fillId="24" borderId="106" xfId="6" applyNumberFormat="1" applyFill="1" applyBorder="1"/>
    <xf numFmtId="3" fontId="0" fillId="0" borderId="53" xfId="0" applyNumberFormat="1" applyFill="1" applyBorder="1"/>
    <xf numFmtId="3" fontId="0" fillId="6" borderId="53" xfId="0" applyNumberFormat="1" applyFill="1" applyBorder="1"/>
    <xf numFmtId="3" fontId="0" fillId="0" borderId="0" xfId="0" applyNumberFormat="1" applyFont="1" applyFill="1"/>
    <xf numFmtId="3" fontId="0" fillId="0" borderId="110" xfId="0" applyNumberFormat="1" applyFill="1" applyBorder="1"/>
    <xf numFmtId="3" fontId="0" fillId="0" borderId="103" xfId="0" applyNumberFormat="1" applyFill="1" applyBorder="1"/>
    <xf numFmtId="0" fontId="0" fillId="0" borderId="99" xfId="0" pivotButton="1" applyBorder="1"/>
    <xf numFmtId="3" fontId="0" fillId="2" borderId="53" xfId="0" applyNumberFormat="1" applyFill="1" applyBorder="1"/>
    <xf numFmtId="4" fontId="148" fillId="8" borderId="130" xfId="6" applyNumberFormat="1" applyFont="1" applyFill="1" applyBorder="1"/>
    <xf numFmtId="4" fontId="148" fillId="0" borderId="130" xfId="6" applyNumberFormat="1" applyFont="1" applyFill="1" applyBorder="1"/>
    <xf numFmtId="0" fontId="30" fillId="0" borderId="0" xfId="0" applyFont="1" applyFill="1" applyBorder="1" applyAlignment="1">
      <alignment horizontal="left"/>
    </xf>
    <xf numFmtId="3" fontId="15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76" fillId="0" borderId="0" xfId="0" applyFont="1" applyBorder="1" applyAlignment="1">
      <alignment wrapText="1"/>
    </xf>
    <xf numFmtId="0" fontId="0" fillId="2" borderId="55" xfId="0" applyFont="1" applyFill="1" applyBorder="1"/>
    <xf numFmtId="0" fontId="0" fillId="2" borderId="0" xfId="0" applyFont="1" applyFill="1" applyBorder="1"/>
    <xf numFmtId="4" fontId="0" fillId="2" borderId="0" xfId="0" applyNumberFormat="1" applyFont="1" applyFill="1" applyBorder="1" applyAlignment="1">
      <alignment horizontal="right"/>
    </xf>
    <xf numFmtId="0" fontId="30" fillId="6" borderId="5" xfId="0" applyFont="1" applyFill="1" applyBorder="1" applyAlignment="1">
      <alignment horizontal="left"/>
    </xf>
    <xf numFmtId="0" fontId="30" fillId="6" borderId="6" xfId="0" applyFont="1" applyFill="1" applyBorder="1"/>
    <xf numFmtId="4" fontId="0" fillId="2" borderId="110" xfId="0" applyNumberFormat="1" applyFont="1" applyFill="1" applyBorder="1" applyAlignment="1">
      <alignment horizontal="right"/>
    </xf>
    <xf numFmtId="3" fontId="0" fillId="2" borderId="138" xfId="0" applyNumberFormat="1" applyFont="1" applyFill="1" applyBorder="1" applyAlignment="1">
      <alignment horizontal="right"/>
    </xf>
    <xf numFmtId="3" fontId="0" fillId="2" borderId="43" xfId="0" applyNumberFormat="1" applyFont="1" applyFill="1" applyBorder="1" applyAlignment="1">
      <alignment horizontal="right"/>
    </xf>
    <xf numFmtId="3" fontId="0" fillId="2" borderId="110" xfId="0" applyNumberFormat="1" applyFont="1" applyFill="1" applyBorder="1" applyAlignment="1">
      <alignment horizontal="right"/>
    </xf>
    <xf numFmtId="3" fontId="0" fillId="2" borderId="44" xfId="0" applyNumberFormat="1" applyFont="1" applyFill="1" applyBorder="1" applyAlignment="1">
      <alignment horizontal="right"/>
    </xf>
    <xf numFmtId="3" fontId="30" fillId="0" borderId="44" xfId="0" applyNumberFormat="1" applyFont="1" applyFill="1" applyBorder="1" applyAlignment="1">
      <alignment horizontal="right"/>
    </xf>
    <xf numFmtId="3" fontId="30" fillId="6" borderId="6" xfId="0" applyNumberFormat="1" applyFont="1" applyFill="1" applyBorder="1" applyAlignment="1">
      <alignment horizontal="right"/>
    </xf>
    <xf numFmtId="3" fontId="30" fillId="6" borderId="52" xfId="0" applyNumberFormat="1" applyFont="1" applyFill="1" applyBorder="1" applyAlignment="1">
      <alignment horizontal="right"/>
    </xf>
    <xf numFmtId="0" fontId="146" fillId="0" borderId="42" xfId="0" applyFont="1" applyBorder="1"/>
    <xf numFmtId="0" fontId="146" fillId="0" borderId="55" xfId="0" applyFont="1" applyBorder="1"/>
    <xf numFmtId="0" fontId="146" fillId="0" borderId="0" xfId="0" applyFont="1" applyBorder="1"/>
    <xf numFmtId="4" fontId="0" fillId="0" borderId="18" xfId="0" applyNumberFormat="1" applyBorder="1"/>
    <xf numFmtId="0" fontId="45" fillId="0" borderId="0" xfId="0" applyFont="1" applyBorder="1" applyAlignment="1">
      <alignment horizontal="right"/>
    </xf>
    <xf numFmtId="4" fontId="147" fillId="0" borderId="18" xfId="0" applyNumberFormat="1" applyFont="1" applyBorder="1" applyAlignment="1">
      <alignment horizontal="right"/>
    </xf>
    <xf numFmtId="0" fontId="88" fillId="0" borderId="0" xfId="0" applyFont="1" applyBorder="1" applyAlignment="1">
      <alignment horizontal="left"/>
    </xf>
    <xf numFmtId="0" fontId="147" fillId="0" borderId="0" xfId="0" applyFont="1" applyBorder="1" applyAlignment="1">
      <alignment horizontal="right"/>
    </xf>
    <xf numFmtId="4" fontId="75" fillId="0" borderId="139" xfId="6" applyNumberFormat="1" applyBorder="1"/>
    <xf numFmtId="0" fontId="154" fillId="0" borderId="0" xfId="6" applyFont="1" applyBorder="1"/>
    <xf numFmtId="4" fontId="45" fillId="0" borderId="18" xfId="0" applyNumberFormat="1" applyFont="1" applyBorder="1" applyAlignment="1">
      <alignment horizontal="right"/>
    </xf>
    <xf numFmtId="3" fontId="153" fillId="11" borderId="55" xfId="0" applyNumberFormat="1" applyFont="1" applyFill="1" applyBorder="1" applyAlignment="1">
      <alignment horizontal="center"/>
    </xf>
    <xf numFmtId="3" fontId="153" fillId="21" borderId="55" xfId="0" applyNumberFormat="1" applyFont="1" applyFill="1" applyBorder="1" applyAlignment="1">
      <alignment horizontal="center"/>
    </xf>
    <xf numFmtId="3" fontId="153" fillId="24" borderId="55" xfId="0" applyNumberFormat="1" applyFont="1" applyFill="1" applyBorder="1" applyAlignment="1">
      <alignment horizontal="center"/>
    </xf>
    <xf numFmtId="0" fontId="75" fillId="0" borderId="139" xfId="6" applyBorder="1"/>
    <xf numFmtId="0" fontId="154" fillId="0" borderId="5" xfId="6" applyFont="1" applyBorder="1"/>
    <xf numFmtId="0" fontId="30" fillId="0" borderId="140" xfId="0" applyFont="1" applyBorder="1" applyAlignment="1">
      <alignment horizontal="center"/>
    </xf>
    <xf numFmtId="4" fontId="45" fillId="0" borderId="52" xfId="0" applyNumberFormat="1" applyFont="1" applyBorder="1" applyAlignment="1">
      <alignment horizontal="right"/>
    </xf>
    <xf numFmtId="0" fontId="88" fillId="0" borderId="0" xfId="0" applyFont="1"/>
    <xf numFmtId="0" fontId="155" fillId="0" borderId="0" xfId="0" applyFont="1"/>
    <xf numFmtId="4" fontId="155" fillId="0" borderId="0" xfId="0" applyNumberFormat="1" applyFont="1"/>
    <xf numFmtId="0" fontId="156" fillId="0" borderId="0" xfId="6" applyFont="1"/>
    <xf numFmtId="0" fontId="88" fillId="0" borderId="0" xfId="0" applyFont="1" applyAlignment="1">
      <alignment horizontal="right"/>
    </xf>
    <xf numFmtId="4" fontId="88" fillId="0" borderId="0" xfId="0" applyNumberFormat="1" applyFont="1" applyAlignment="1">
      <alignment horizontal="right"/>
    </xf>
    <xf numFmtId="4" fontId="156" fillId="0" borderId="0" xfId="6" applyNumberFormat="1" applyFont="1" applyBorder="1"/>
    <xf numFmtId="4" fontId="156" fillId="0" borderId="107" xfId="6" applyNumberFormat="1" applyFont="1" applyBorder="1"/>
    <xf numFmtId="4" fontId="156" fillId="0" borderId="0" xfId="6" applyNumberFormat="1" applyFont="1"/>
    <xf numFmtId="3" fontId="157" fillId="0" borderId="0" xfId="0" applyNumberFormat="1" applyFont="1" applyFill="1" applyAlignment="1">
      <alignment horizontal="center"/>
    </xf>
    <xf numFmtId="0" fontId="155" fillId="0" borderId="64" xfId="0" applyFont="1" applyBorder="1" applyAlignment="1">
      <alignment horizontal="center"/>
    </xf>
    <xf numFmtId="0" fontId="156" fillId="0" borderId="0" xfId="6" applyFont="1" applyBorder="1"/>
    <xf numFmtId="0" fontId="156" fillId="0" borderId="107" xfId="6" applyFont="1" applyBorder="1"/>
    <xf numFmtId="0" fontId="158" fillId="0" borderId="0" xfId="0" applyFont="1" applyAlignment="1">
      <alignment horizontal="right"/>
    </xf>
    <xf numFmtId="164" fontId="156" fillId="0" borderId="18" xfId="6" applyNumberFormat="1" applyFont="1" applyBorder="1"/>
    <xf numFmtId="0" fontId="156" fillId="21" borderId="0" xfId="6" applyFont="1" applyFill="1"/>
    <xf numFmtId="0" fontId="158" fillId="0" borderId="0" xfId="0" applyFont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45" fillId="2" borderId="55" xfId="0" applyFont="1" applyFill="1" applyBorder="1" applyAlignment="1"/>
    <xf numFmtId="0" fontId="47" fillId="2" borderId="55" xfId="0" applyFont="1" applyFill="1" applyBorder="1" applyAlignment="1"/>
    <xf numFmtId="4" fontId="30" fillId="6" borderId="141" xfId="0" applyNumberFormat="1" applyFont="1" applyFill="1" applyBorder="1" applyAlignment="1">
      <alignment horizontal="right"/>
    </xf>
    <xf numFmtId="4" fontId="30" fillId="6" borderId="142" xfId="0" applyNumberFormat="1" applyFont="1" applyFill="1" applyBorder="1" applyAlignment="1">
      <alignment horizontal="right"/>
    </xf>
    <xf numFmtId="4" fontId="30" fillId="6" borderId="143" xfId="0" applyNumberFormat="1" applyFont="1" applyFill="1" applyBorder="1" applyAlignment="1">
      <alignment horizontal="right"/>
    </xf>
    <xf numFmtId="3" fontId="30" fillId="2" borderId="110" xfId="0" applyNumberFormat="1" applyFont="1" applyFill="1" applyBorder="1" applyAlignment="1">
      <alignment horizontal="right"/>
    </xf>
    <xf numFmtId="3" fontId="30" fillId="2" borderId="44" xfId="0" applyNumberFormat="1" applyFont="1" applyFill="1" applyBorder="1" applyAlignment="1">
      <alignment horizontal="right"/>
    </xf>
    <xf numFmtId="3" fontId="0" fillId="0" borderId="110" xfId="0" applyNumberFormat="1" applyFont="1" applyFill="1" applyBorder="1"/>
    <xf numFmtId="3" fontId="0" fillId="0" borderId="110" xfId="0" applyNumberFormat="1" applyFont="1" applyFill="1" applyBorder="1" applyAlignment="1">
      <alignment horizontal="right"/>
    </xf>
    <xf numFmtId="3" fontId="30" fillId="6" borderId="58" xfId="0" applyNumberFormat="1" applyFont="1" applyFill="1" applyBorder="1" applyAlignment="1">
      <alignment horizontal="right"/>
    </xf>
    <xf numFmtId="4" fontId="0" fillId="2" borderId="21" xfId="0" applyNumberFormat="1" applyFont="1" applyFill="1" applyBorder="1" applyAlignment="1">
      <alignment horizontal="right"/>
    </xf>
    <xf numFmtId="0" fontId="0" fillId="0" borderId="55" xfId="0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97" fillId="0" borderId="42" xfId="0" applyFont="1" applyFill="1" applyBorder="1" applyAlignment="1">
      <alignment horizontal="left"/>
    </xf>
    <xf numFmtId="0" fontId="97" fillId="0" borderId="30" xfId="0" applyFont="1" applyFill="1" applyBorder="1" applyAlignment="1">
      <alignment horizontal="left"/>
    </xf>
    <xf numFmtId="0" fontId="97" fillId="0" borderId="55" xfId="0" applyFont="1" applyFill="1" applyBorder="1" applyAlignment="1">
      <alignment horizontal="left"/>
    </xf>
    <xf numFmtId="0" fontId="97" fillId="0" borderId="0" xfId="0" applyFont="1" applyFill="1" applyBorder="1" applyAlignment="1">
      <alignment horizontal="left"/>
    </xf>
    <xf numFmtId="3" fontId="0" fillId="2" borderId="107" xfId="0" applyNumberFormat="1" applyFill="1" applyBorder="1" applyAlignment="1">
      <alignment horizontal="right"/>
    </xf>
    <xf numFmtId="3" fontId="0" fillId="2" borderId="139" xfId="0" applyNumberFormat="1" applyFill="1" applyBorder="1" applyAlignment="1">
      <alignment horizontal="right"/>
    </xf>
    <xf numFmtId="3" fontId="30" fillId="6" borderId="39" xfId="0" applyNumberFormat="1" applyFont="1" applyFill="1" applyBorder="1" applyAlignment="1">
      <alignment horizontal="right"/>
    </xf>
    <xf numFmtId="3" fontId="30" fillId="6" borderId="41" xfId="0" applyNumberFormat="1" applyFont="1" applyFill="1" applyBorder="1" applyAlignment="1">
      <alignment horizontal="right"/>
    </xf>
    <xf numFmtId="0" fontId="30" fillId="0" borderId="42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04" fillId="0" borderId="30" xfId="0" applyFont="1" applyBorder="1" applyAlignment="1">
      <alignment horizontal="center" vertical="center" wrapText="1"/>
    </xf>
    <xf numFmtId="3" fontId="104" fillId="0" borderId="51" xfId="0" applyNumberFormat="1" applyFont="1" applyFill="1" applyBorder="1" applyAlignment="1">
      <alignment horizontal="center" vertical="center" wrapText="1"/>
    </xf>
    <xf numFmtId="0" fontId="97" fillId="0" borderId="55" xfId="0" applyFont="1" applyFill="1" applyBorder="1" applyAlignment="1">
      <alignment horizontal="center"/>
    </xf>
    <xf numFmtId="3" fontId="0" fillId="0" borderId="18" xfId="0" applyNumberFormat="1" applyFill="1" applyBorder="1"/>
    <xf numFmtId="0" fontId="97" fillId="0" borderId="136" xfId="0" applyFont="1" applyFill="1" applyBorder="1" applyAlignment="1">
      <alignment horizontal="center"/>
    </xf>
    <xf numFmtId="0" fontId="0" fillId="0" borderId="107" xfId="0" applyFill="1" applyBorder="1"/>
    <xf numFmtId="3" fontId="0" fillId="0" borderId="139" xfId="0" applyNumberFormat="1" applyFill="1" applyBorder="1"/>
    <xf numFmtId="3" fontId="0" fillId="0" borderId="0" xfId="0" applyNumberFormat="1" applyFont="1"/>
    <xf numFmtId="0" fontId="0" fillId="0" borderId="38" xfId="0" applyFill="1" applyBorder="1"/>
    <xf numFmtId="0" fontId="0" fillId="0" borderId="39" xfId="0" applyFill="1" applyBorder="1"/>
    <xf numFmtId="3" fontId="0" fillId="0" borderId="39" xfId="0" applyNumberFormat="1" applyFill="1" applyBorder="1"/>
    <xf numFmtId="3" fontId="0" fillId="0" borderId="41" xfId="0" applyNumberFormat="1" applyFill="1" applyBorder="1"/>
    <xf numFmtId="0" fontId="0" fillId="0" borderId="55" xfId="0" applyFill="1" applyBorder="1"/>
    <xf numFmtId="3" fontId="0" fillId="0" borderId="38" xfId="0" applyNumberFormat="1" applyFill="1" applyBorder="1"/>
    <xf numFmtId="0" fontId="0" fillId="0" borderId="41" xfId="0" applyFill="1" applyBorder="1"/>
    <xf numFmtId="14" fontId="44" fillId="22" borderId="93" xfId="0" applyNumberFormat="1" applyFont="1" applyFill="1" applyBorder="1"/>
    <xf numFmtId="0" fontId="0" fillId="22" borderId="93" xfId="0" applyFill="1" applyBorder="1"/>
    <xf numFmtId="0" fontId="29" fillId="22" borderId="0" xfId="0" applyFont="1" applyFill="1"/>
    <xf numFmtId="4" fontId="0" fillId="22" borderId="93" xfId="0" applyNumberFormat="1" applyFill="1" applyBorder="1"/>
    <xf numFmtId="4" fontId="29" fillId="22" borderId="93" xfId="0" applyNumberFormat="1" applyFont="1" applyFill="1" applyBorder="1"/>
    <xf numFmtId="0" fontId="0" fillId="0" borderId="0" xfId="0" applyFill="1" applyBorder="1" applyAlignment="1">
      <alignment horizontal="left"/>
    </xf>
    <xf numFmtId="0" fontId="30" fillId="0" borderId="5" xfId="0" applyFont="1" applyFill="1" applyBorder="1"/>
    <xf numFmtId="0" fontId="30" fillId="0" borderId="55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right"/>
    </xf>
    <xf numFmtId="0" fontId="30" fillId="0" borderId="6" xfId="0" applyFont="1" applyFill="1" applyBorder="1" applyAlignment="1">
      <alignment horizontal="center"/>
    </xf>
    <xf numFmtId="3" fontId="30" fillId="0" borderId="6" xfId="0" applyNumberFormat="1" applyFont="1" applyFill="1" applyBorder="1" applyAlignment="1">
      <alignment horizontal="right"/>
    </xf>
    <xf numFmtId="3" fontId="30" fillId="0" borderId="52" xfId="0" applyNumberFormat="1" applyFont="1" applyFill="1" applyBorder="1" applyAlignment="1">
      <alignment horizontal="right"/>
    </xf>
    <xf numFmtId="0" fontId="30" fillId="2" borderId="38" xfId="0" applyFont="1" applyFill="1" applyBorder="1" applyAlignment="1">
      <alignment horizontal="left"/>
    </xf>
    <xf numFmtId="0" fontId="0" fillId="6" borderId="55" xfId="0" applyFont="1" applyFill="1" applyBorder="1" applyAlignment="1">
      <alignment horizontal="left"/>
    </xf>
    <xf numFmtId="3" fontId="0" fillId="6" borderId="11" xfId="0" applyNumberFormat="1" applyFont="1" applyFill="1" applyBorder="1" applyAlignment="1">
      <alignment horizontal="right"/>
    </xf>
    <xf numFmtId="3" fontId="0" fillId="6" borderId="0" xfId="0" applyNumberFormat="1" applyFont="1" applyFill="1" applyBorder="1" applyAlignment="1">
      <alignment horizontal="right"/>
    </xf>
    <xf numFmtId="3" fontId="107" fillId="6" borderId="11" xfId="0" applyNumberFormat="1" applyFont="1" applyFill="1" applyBorder="1" applyAlignment="1">
      <alignment horizontal="right"/>
    </xf>
    <xf numFmtId="3" fontId="72" fillId="6" borderId="11" xfId="0" applyNumberFormat="1" applyFont="1" applyFill="1" applyBorder="1" applyAlignment="1">
      <alignment horizontal="right"/>
    </xf>
    <xf numFmtId="3" fontId="74" fillId="6" borderId="0" xfId="0" applyNumberFormat="1" applyFont="1" applyFill="1" applyBorder="1" applyAlignment="1">
      <alignment horizontal="right"/>
    </xf>
    <xf numFmtId="0" fontId="79" fillId="6" borderId="0" xfId="0" applyFont="1" applyFill="1" applyAlignment="1">
      <alignment horizontal="center"/>
    </xf>
    <xf numFmtId="0" fontId="79" fillId="6" borderId="0" xfId="0" applyFont="1" applyFill="1" applyAlignment="1">
      <alignment horizontal="left"/>
    </xf>
    <xf numFmtId="0" fontId="46" fillId="0" borderId="0" xfId="1" applyFont="1" applyAlignment="1">
      <alignment horizontal="center"/>
    </xf>
    <xf numFmtId="0" fontId="48" fillId="9" borderId="27" xfId="1" applyFont="1" applyFill="1" applyBorder="1" applyAlignment="1">
      <alignment horizontal="center"/>
    </xf>
    <xf numFmtId="0" fontId="48" fillId="9" borderId="28" xfId="1" applyFont="1" applyFill="1" applyBorder="1" applyAlignment="1">
      <alignment horizontal="center"/>
    </xf>
    <xf numFmtId="3" fontId="48" fillId="16" borderId="112" xfId="1" applyNumberFormat="1" applyFont="1" applyFill="1" applyBorder="1" applyAlignment="1">
      <alignment horizontal="center"/>
    </xf>
    <xf numFmtId="3" fontId="48" fillId="16" borderId="113" xfId="1" applyNumberFormat="1" applyFont="1" applyFill="1" applyBorder="1" applyAlignment="1">
      <alignment horizontal="center"/>
    </xf>
    <xf numFmtId="3" fontId="48" fillId="16" borderId="114" xfId="1" applyNumberFormat="1" applyFont="1" applyFill="1" applyBorder="1" applyAlignment="1">
      <alignment horizontal="center"/>
    </xf>
    <xf numFmtId="0" fontId="46" fillId="0" borderId="0" xfId="1" applyFont="1" applyBorder="1" applyAlignment="1">
      <alignment horizontal="center" vertical="center"/>
    </xf>
    <xf numFmtId="0" fontId="123" fillId="0" borderId="0" xfId="1" applyFont="1" applyAlignment="1">
      <alignment horizontal="center"/>
    </xf>
    <xf numFmtId="0" fontId="124" fillId="0" borderId="0" xfId="1" applyFont="1" applyAlignment="1">
      <alignment horizontal="center" vertical="center"/>
    </xf>
    <xf numFmtId="0" fontId="38" fillId="0" borderId="86" xfId="14" applyFont="1" applyBorder="1" applyAlignment="1">
      <alignment horizontal="center" wrapText="1"/>
    </xf>
    <xf numFmtId="0" fontId="38" fillId="0" borderId="46" xfId="14" applyFont="1" applyBorder="1" applyAlignment="1">
      <alignment horizontal="center" wrapText="1"/>
    </xf>
    <xf numFmtId="0" fontId="38" fillId="0" borderId="86" xfId="14" applyFont="1" applyBorder="1" applyAlignment="1">
      <alignment horizontal="center"/>
    </xf>
    <xf numFmtId="0" fontId="38" fillId="0" borderId="46" xfId="14" applyFont="1" applyBorder="1" applyAlignment="1">
      <alignment horizontal="center"/>
    </xf>
    <xf numFmtId="0" fontId="31" fillId="0" borderId="86" xfId="14" applyFont="1" applyBorder="1" applyAlignment="1">
      <alignment horizontal="center"/>
    </xf>
    <xf numFmtId="0" fontId="31" fillId="0" borderId="77" xfId="14" applyFont="1" applyBorder="1" applyAlignment="1">
      <alignment horizontal="center"/>
    </xf>
    <xf numFmtId="0" fontId="63" fillId="0" borderId="0" xfId="14" applyFont="1" applyAlignment="1">
      <alignment horizontal="left"/>
    </xf>
    <xf numFmtId="0" fontId="78" fillId="11" borderId="38" xfId="14" applyFont="1" applyFill="1" applyBorder="1" applyAlignment="1">
      <alignment horizontal="center"/>
    </xf>
    <xf numFmtId="0" fontId="78" fillId="11" borderId="39" xfId="14" applyFont="1" applyFill="1" applyBorder="1" applyAlignment="1">
      <alignment horizontal="center"/>
    </xf>
    <xf numFmtId="0" fontId="31" fillId="11" borderId="38" xfId="14" applyFont="1" applyFill="1" applyBorder="1" applyAlignment="1">
      <alignment horizontal="center"/>
    </xf>
    <xf numFmtId="0" fontId="31" fillId="11" borderId="39" xfId="14" applyFont="1" applyFill="1" applyBorder="1" applyAlignment="1">
      <alignment horizontal="center"/>
    </xf>
    <xf numFmtId="0" fontId="31" fillId="11" borderId="41" xfId="14" applyFont="1" applyFill="1" applyBorder="1" applyAlignment="1">
      <alignment horizontal="center"/>
    </xf>
    <xf numFmtId="0" fontId="109" fillId="28" borderId="38" xfId="14" applyFont="1" applyFill="1" applyBorder="1" applyAlignment="1">
      <alignment horizontal="center"/>
    </xf>
    <xf numFmtId="0" fontId="109" fillId="28" borderId="41" xfId="14" applyFont="1" applyFill="1" applyBorder="1" applyAlignment="1">
      <alignment horizontal="center"/>
    </xf>
    <xf numFmtId="0" fontId="31" fillId="29" borderId="38" xfId="14" applyFont="1" applyFill="1" applyBorder="1" applyAlignment="1">
      <alignment horizontal="center" wrapText="1"/>
    </xf>
    <xf numFmtId="0" fontId="31" fillId="29" borderId="39" xfId="14" applyFont="1" applyFill="1" applyBorder="1" applyAlignment="1">
      <alignment horizontal="center" wrapText="1"/>
    </xf>
    <xf numFmtId="0" fontId="31" fillId="29" borderId="41" xfId="14" applyFont="1" applyFill="1" applyBorder="1" applyAlignment="1">
      <alignment horizontal="center" wrapText="1"/>
    </xf>
    <xf numFmtId="0" fontId="31" fillId="29" borderId="84" xfId="14" applyFont="1" applyFill="1" applyBorder="1" applyAlignment="1">
      <alignment horizontal="center"/>
    </xf>
    <xf numFmtId="0" fontId="31" fillId="29" borderId="85" xfId="14" applyFont="1" applyFill="1" applyBorder="1" applyAlignment="1">
      <alignment horizontal="center"/>
    </xf>
    <xf numFmtId="0" fontId="41" fillId="8" borderId="4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vertical="center" wrapText="1"/>
    </xf>
    <xf numFmtId="0" fontId="65" fillId="2" borderId="130" xfId="0" applyFont="1" applyFill="1" applyBorder="1" applyProtection="1">
      <protection locked="0"/>
    </xf>
    <xf numFmtId="4" fontId="65" fillId="0" borderId="130" xfId="0" applyNumberFormat="1" applyFont="1" applyFill="1" applyBorder="1" applyProtection="1">
      <protection locked="0"/>
    </xf>
    <xf numFmtId="0" fontId="44" fillId="0" borderId="0" xfId="1" applyAlignment="1">
      <alignment horizontal="center"/>
    </xf>
    <xf numFmtId="44" fontId="85" fillId="8" borderId="130" xfId="17" applyFont="1" applyFill="1" applyBorder="1" applyAlignment="1" applyProtection="1">
      <alignment horizontal="center" vertical="center" wrapText="1"/>
      <protection locked="0"/>
    </xf>
    <xf numFmtId="9" fontId="44" fillId="0" borderId="0" xfId="1" applyNumberFormat="1" applyAlignment="1">
      <alignment horizontal="center"/>
    </xf>
    <xf numFmtId="4" fontId="108" fillId="6" borderId="58" xfId="0" applyNumberFormat="1" applyFont="1" applyFill="1" applyBorder="1" applyAlignment="1">
      <alignment horizontal="right"/>
    </xf>
    <xf numFmtId="4" fontId="30" fillId="6" borderId="98" xfId="0" applyNumberFormat="1" applyFont="1" applyFill="1" applyBorder="1" applyAlignment="1">
      <alignment horizontal="right"/>
    </xf>
    <xf numFmtId="4" fontId="37" fillId="8" borderId="130" xfId="0" applyNumberFormat="1" applyFont="1" applyFill="1" applyBorder="1"/>
    <xf numFmtId="9" fontId="0" fillId="2" borderId="30" xfId="13" applyFont="1" applyFill="1" applyBorder="1"/>
    <xf numFmtId="3" fontId="61" fillId="11" borderId="30" xfId="0" applyNumberFormat="1" applyFont="1" applyFill="1" applyBorder="1" applyAlignment="1">
      <alignment horizontal="right"/>
    </xf>
    <xf numFmtId="3" fontId="83" fillId="15" borderId="0" xfId="0" applyNumberFormat="1" applyFont="1" applyFill="1"/>
    <xf numFmtId="0" fontId="44" fillId="2" borderId="55" xfId="0" applyFont="1" applyFill="1" applyBorder="1" applyAlignment="1"/>
    <xf numFmtId="3" fontId="74" fillId="30" borderId="0" xfId="0" applyNumberFormat="1" applyFont="1" applyFill="1" applyBorder="1"/>
    <xf numFmtId="3" fontId="72" fillId="30" borderId="11" xfId="0" applyNumberFormat="1" applyFont="1" applyFill="1" applyBorder="1" applyAlignment="1">
      <alignment horizontal="right"/>
    </xf>
    <xf numFmtId="3" fontId="120" fillId="30" borderId="26" xfId="0" applyNumberFormat="1" applyFont="1" applyFill="1" applyBorder="1" applyAlignment="1">
      <alignment horizontal="right"/>
    </xf>
  </cellXfs>
  <cellStyles count="18">
    <cellStyle name="Milliers 2" xfId="12"/>
    <cellStyle name="Milliers 3" xfId="15"/>
    <cellStyle name="Monétaire" xfId="17" builtinId="4"/>
    <cellStyle name="Monétaire 2" xfId="5"/>
    <cellStyle name="Monétaire 3" xfId="16"/>
    <cellStyle name="Normal" xfId="0" builtinId="0"/>
    <cellStyle name="Normal 2" xfId="1"/>
    <cellStyle name="Normal 3" xfId="3"/>
    <cellStyle name="Normal 3 2" xfId="9"/>
    <cellStyle name="Normal 4" xfId="6"/>
    <cellStyle name="Normal 5" xfId="7"/>
    <cellStyle name="Normal 6" xfId="8"/>
    <cellStyle name="Normal 7" xfId="10"/>
    <cellStyle name="Normal 8" xfId="11"/>
    <cellStyle name="Normal 9" xfId="14"/>
    <cellStyle name="Pourcentage" xfId="13" builtinId="5"/>
    <cellStyle name="Pourcentage 2" xfId="2"/>
    <cellStyle name="Pourcentage 3" xfId="4"/>
  </cellStyles>
  <dxfs count="989">
    <dxf>
      <fill>
        <patternFill patternType="solid">
          <bgColor theme="7" tint="0.79998168889431442"/>
        </patternFill>
      </fill>
    </dxf>
    <dxf>
      <font>
        <color theme="5" tint="-0.499984740745262"/>
      </font>
    </dxf>
    <dxf>
      <alignment horizontal="center" readingOrder="0"/>
    </dxf>
    <dxf>
      <font>
        <color rgb="FFFF0000"/>
      </font>
    </dxf>
    <dxf>
      <font>
        <sz val="10"/>
      </font>
    </dxf>
    <dxf>
      <font>
        <i/>
      </font>
    </dxf>
    <dxf>
      <font>
        <color theme="5" tint="-0.499984740745262"/>
      </font>
    </dxf>
    <dxf>
      <numFmt numFmtId="3" formatCode="#,##0"/>
    </dxf>
    <dxf>
      <alignment wrapText="1" readingOrder="0"/>
    </dxf>
    <dxf>
      <font>
        <sz val="9"/>
      </font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5" tint="-0.249977111117893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5" tint="-0.249977111117893"/>
      </font>
    </dxf>
    <dxf>
      <font>
        <color theme="5" tint="-0.249977111117893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border>
        <left/>
      </border>
    </dxf>
    <dxf>
      <border>
        <left/>
      </border>
    </dxf>
    <dxf>
      <font>
        <color theme="2" tint="-0.89999084444715716"/>
      </font>
    </dxf>
    <dxf>
      <font>
        <color theme="5" tint="-0.499984740745262"/>
      </font>
    </dxf>
    <dxf>
      <font>
        <color theme="5" tint="-0.499984740745262"/>
      </font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14"/>
      </font>
    </dxf>
    <dxf>
      <font>
        <sz val="14"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i/>
      </font>
    </dxf>
    <dxf>
      <font>
        <color theme="5" tint="-0.499984740745262"/>
      </font>
    </dxf>
    <dxf>
      <font>
        <color theme="5" tint="-0.499984740745262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5" tint="-0.499984740745262"/>
      </font>
    </dxf>
    <dxf>
      <alignment horizontal="center" readingOrder="0"/>
    </dxf>
    <dxf>
      <font>
        <color rgb="FFFF0000"/>
      </font>
    </dxf>
    <dxf>
      <font>
        <sz val="10"/>
      </font>
    </dxf>
    <dxf>
      <font>
        <i/>
      </font>
    </dxf>
    <dxf>
      <font>
        <color theme="5" tint="-0.499984740745262"/>
      </font>
    </dxf>
    <dxf>
      <numFmt numFmtId="3" formatCode="#,##0"/>
    </dxf>
    <dxf>
      <alignment wrapText="1" readingOrder="0"/>
    </dxf>
    <dxf>
      <font>
        <sz val="9"/>
      </font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5" tint="-0.249977111117893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5" tint="-0.249977111117893"/>
      </font>
    </dxf>
    <dxf>
      <font>
        <color theme="5" tint="-0.249977111117893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border>
        <left/>
      </border>
    </dxf>
    <dxf>
      <border>
        <left/>
      </border>
    </dxf>
    <dxf>
      <font>
        <color theme="2" tint="-0.89999084444715716"/>
      </font>
    </dxf>
    <dxf>
      <font>
        <color theme="5" tint="-0.499984740745262"/>
      </font>
    </dxf>
    <dxf>
      <font>
        <color theme="5" tint="-0.499984740745262"/>
      </font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14"/>
      </font>
    </dxf>
    <dxf>
      <font>
        <sz val="14"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i/>
      </font>
    </dxf>
    <dxf>
      <font>
        <color theme="5" tint="-0.499984740745262"/>
      </font>
    </dxf>
    <dxf>
      <font>
        <color theme="5" tint="-0.499984740745262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5" tint="-0.499984740745262"/>
      </font>
    </dxf>
    <dxf>
      <font>
        <sz val="9"/>
      </font>
      <alignment horizontal="center" vertical="center" wrapText="1" readingOrder="0"/>
    </dxf>
    <dxf>
      <fill>
        <patternFill patternType="solid">
          <bgColor theme="7" tint="0.79998168889431442"/>
        </patternFill>
      </fill>
    </dxf>
    <dxf>
      <font>
        <color theme="5" tint="-0.499984740745262"/>
      </font>
    </dxf>
    <dxf>
      <alignment horizontal="center" readingOrder="0"/>
    </dxf>
    <dxf>
      <font>
        <color rgb="FFFF0000"/>
      </font>
    </dxf>
    <dxf>
      <font>
        <sz val="10"/>
      </font>
    </dxf>
    <dxf>
      <font>
        <i/>
      </font>
    </dxf>
    <dxf>
      <font>
        <color theme="5" tint="-0.499984740745262"/>
      </font>
    </dxf>
    <dxf>
      <numFmt numFmtId="3" formatCode="#,##0"/>
    </dxf>
    <dxf>
      <alignment wrapText="1" readingOrder="0"/>
    </dxf>
    <dxf>
      <font>
        <sz val="9"/>
      </font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none">
          <bgColor auto="1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z val="9"/>
      </font>
      <alignment horizontal="center" vertical="center" wrapText="1" readingOrder="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numFmt numFmtId="3" formatCode="#,##0"/>
    </dxf>
    <dxf>
      <numFmt numFmtId="1" formatCode="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6" tint="0.79998168889431442"/>
        </patternFill>
      </fill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7" tint="0.79998168889431442"/>
        </patternFill>
      </fill>
    </dxf>
    <dxf>
      <font>
        <b/>
      </font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font>
        <color theme="5" tint="-0.499984740745262"/>
      </font>
    </dxf>
    <dxf>
      <font>
        <i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sz val="14"/>
      </font>
    </dxf>
    <dxf>
      <font>
        <sz val="14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color theme="5" tint="-0.499984740745262"/>
      </font>
    </dxf>
    <dxf>
      <font>
        <color theme="5" tint="-0.499984740745262"/>
      </font>
    </dxf>
    <dxf>
      <font>
        <color theme="2" tint="-0.89999084444715716"/>
      </font>
    </dxf>
    <dxf>
      <border>
        <left/>
      </border>
    </dxf>
    <dxf>
      <border>
        <left/>
      </border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5" tint="-0.249977111117893"/>
      </font>
    </dxf>
    <dxf>
      <font>
        <color theme="5" tint="-0.249977111117893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5" tint="-0.249977111117893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numFmt numFmtId="3" formatCode="#,##0"/>
    </dxf>
    <dxf>
      <numFmt numFmtId="1" formatCode="0"/>
    </dxf>
    <dxf>
      <numFmt numFmtId="3" formatCode="#,##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alignment vertical="center" readingOrder="0"/>
    </dxf>
    <dxf>
      <alignment horizontal="center" readingOrder="0"/>
    </dxf>
    <dxf>
      <font>
        <sz val="9"/>
      </font>
    </dxf>
    <dxf>
      <numFmt numFmtId="3" formatCode="#,##0"/>
    </dxf>
    <dxf>
      <numFmt numFmtId="1" formatCode="0"/>
    </dxf>
    <dxf>
      <numFmt numFmtId="3" formatCode="#,##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ont>
        <sz val="9"/>
      </font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alignment wrapText="1" readingOrder="0"/>
    </dxf>
    <dxf>
      <numFmt numFmtId="3" formatCode="#,##0"/>
    </dxf>
    <dxf>
      <font>
        <color theme="5" tint="-0.499984740745262"/>
      </font>
    </dxf>
    <dxf>
      <font>
        <i/>
      </font>
    </dxf>
    <dxf>
      <font>
        <sz val="10"/>
      </font>
    </dxf>
    <dxf>
      <font>
        <color rgb="FFFF0000"/>
      </font>
    </dxf>
    <dxf>
      <alignment horizontal="center" readingOrder="0"/>
    </dxf>
    <dxf>
      <font>
        <color theme="5" tint="-0.499984740745262"/>
      </font>
    </dxf>
    <dxf>
      <fill>
        <patternFill patternType="solid">
          <bgColor theme="7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pivotCacheDefinition" Target="pivotCache/pivotCacheDefinition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pivotCacheDefinition" Target="pivotCache/pivotCacheDefinition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emf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613832</xdr:colOff>
      <xdr:row>1</xdr:row>
      <xdr:rowOff>216250</xdr:rowOff>
    </xdr:from>
    <xdr:to>
      <xdr:col>6</xdr:col>
      <xdr:colOff>123464</xdr:colOff>
      <xdr:row>4</xdr:row>
      <xdr:rowOff>388054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4698999" y="512583"/>
          <a:ext cx="977187" cy="863249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twoCellAnchor>
  <xdr:oneCellAnchor>
    <xdr:from>
      <xdr:col>6</xdr:col>
      <xdr:colOff>578555</xdr:colOff>
      <xdr:row>31</xdr:row>
      <xdr:rowOff>89253</xdr:rowOff>
    </xdr:from>
    <xdr:ext cx="694966" cy="651582"/>
    <xdr:pic>
      <xdr:nvPicPr>
        <xdr:cNvPr id="3" name="Image 2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6014155" y="9703153"/>
          <a:ext cx="694966" cy="651582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oneCellAnchor>
  <xdr:twoCellAnchor editAs="oneCell">
    <xdr:from>
      <xdr:col>0</xdr:col>
      <xdr:colOff>275167</xdr:colOff>
      <xdr:row>48</xdr:row>
      <xdr:rowOff>14200</xdr:rowOff>
    </xdr:from>
    <xdr:to>
      <xdr:col>6</xdr:col>
      <xdr:colOff>451555</xdr:colOff>
      <xdr:row>52</xdr:row>
      <xdr:rowOff>44451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3241250"/>
          <a:ext cx="5731932" cy="81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239888</xdr:colOff>
      <xdr:row>6</xdr:row>
      <xdr:rowOff>124528</xdr:rowOff>
    </xdr:from>
    <xdr:ext cx="832557" cy="743305"/>
    <xdr:pic>
      <xdr:nvPicPr>
        <xdr:cNvPr id="5" name="Image 4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10950221" y="124528"/>
          <a:ext cx="832557" cy="743305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693559</xdr:colOff>
      <xdr:row>0</xdr:row>
      <xdr:rowOff>98422</xdr:rowOff>
    </xdr:from>
    <xdr:ext cx="860779" cy="894293"/>
    <xdr:pic>
      <xdr:nvPicPr>
        <xdr:cNvPr id="3" name="Image 2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5405259" y="98422"/>
          <a:ext cx="860779" cy="894293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oneCellAnchor>
  <xdr:oneCellAnchor>
    <xdr:from>
      <xdr:col>6</xdr:col>
      <xdr:colOff>139700</xdr:colOff>
      <xdr:row>1</xdr:row>
      <xdr:rowOff>190500</xdr:rowOff>
    </xdr:from>
    <xdr:ext cx="576441" cy="541865"/>
    <xdr:pic>
      <xdr:nvPicPr>
        <xdr:cNvPr id="4" name="Image 3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12160250" y="488950"/>
          <a:ext cx="576441" cy="541865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935788</xdr:colOff>
      <xdr:row>0</xdr:row>
      <xdr:rowOff>207208</xdr:rowOff>
    </xdr:from>
    <xdr:to>
      <xdr:col>12</xdr:col>
      <xdr:colOff>421105</xdr:colOff>
      <xdr:row>7</xdr:row>
      <xdr:rowOff>167105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9520988" y="207208"/>
          <a:ext cx="1530017" cy="1344197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35858</xdr:rowOff>
    </xdr:to>
    <xdr:sp macro="" textlink="">
      <xdr:nvSpPr>
        <xdr:cNvPr id="2" name="Rectangle 1">
          <a:extLst/>
        </xdr:cNvPr>
        <xdr:cNvSpPr/>
      </xdr:nvSpPr>
      <xdr:spPr>
        <a:xfrm>
          <a:off x="0" y="0"/>
          <a:ext cx="10962152" cy="696258"/>
        </a:xfrm>
        <a:prstGeom prst="rect">
          <a:avLst/>
        </a:prstGeom>
        <a:solidFill>
          <a:srgbClr val="F58220"/>
        </a:solidFill>
        <a:ln w="936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/>
        <a:lstStyle/>
        <a:p>
          <a:endParaRPr lang="fr-FR"/>
        </a:p>
      </xdr:txBody>
    </xdr:sp>
    <xdr:clientData/>
  </xdr:twoCellAnchor>
  <xdr:twoCellAnchor editAs="oneCell">
    <xdr:from>
      <xdr:col>0</xdr:col>
      <xdr:colOff>184150</xdr:colOff>
      <xdr:row>1</xdr:row>
      <xdr:rowOff>38100</xdr:rowOff>
    </xdr:from>
    <xdr:to>
      <xdr:col>0</xdr:col>
      <xdr:colOff>615950</xdr:colOff>
      <xdr:row>3</xdr:row>
      <xdr:rowOff>139700</xdr:rowOff>
    </xdr:to>
    <xdr:pic>
      <xdr:nvPicPr>
        <xdr:cNvPr id="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73" t="-516" r="-673" b="-516"/>
        <a:stretch>
          <a:fillRect/>
        </a:stretch>
      </xdr:blipFill>
      <xdr:spPr bwMode="auto">
        <a:xfrm rot="1496400">
          <a:off x="184150" y="387350"/>
          <a:ext cx="431800" cy="412750"/>
        </a:xfrm>
        <a:prstGeom prst="rect">
          <a:avLst/>
        </a:prstGeom>
        <a:noFill/>
        <a:ln w="1908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543279</xdr:colOff>
      <xdr:row>0</xdr:row>
      <xdr:rowOff>4583</xdr:rowOff>
    </xdr:from>
    <xdr:to>
      <xdr:col>9</xdr:col>
      <xdr:colOff>35278</xdr:colOff>
      <xdr:row>3</xdr:row>
      <xdr:rowOff>176390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6462890" y="4583"/>
          <a:ext cx="959555" cy="962029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twoCellAnchor>
  <xdr:twoCellAnchor editAs="oneCell">
    <xdr:from>
      <xdr:col>0</xdr:col>
      <xdr:colOff>56446</xdr:colOff>
      <xdr:row>67</xdr:row>
      <xdr:rowOff>7055</xdr:rowOff>
    </xdr:from>
    <xdr:to>
      <xdr:col>5</xdr:col>
      <xdr:colOff>305348</xdr:colOff>
      <xdr:row>73</xdr:row>
      <xdr:rowOff>178272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46" y="13857111"/>
          <a:ext cx="4658624" cy="135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310444</xdr:colOff>
      <xdr:row>67</xdr:row>
      <xdr:rowOff>14111</xdr:rowOff>
    </xdr:from>
    <xdr:to>
      <xdr:col>9</xdr:col>
      <xdr:colOff>242087</xdr:colOff>
      <xdr:row>73</xdr:row>
      <xdr:rowOff>180933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0166" y="13864167"/>
          <a:ext cx="2909088" cy="135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42334</xdr:colOff>
      <xdr:row>64</xdr:row>
      <xdr:rowOff>196829</xdr:rowOff>
    </xdr:from>
    <xdr:to>
      <xdr:col>4</xdr:col>
      <xdr:colOff>423334</xdr:colOff>
      <xdr:row>66</xdr:row>
      <xdr:rowOff>19713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334" y="13454218"/>
          <a:ext cx="4042833" cy="217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63499</xdr:rowOff>
    </xdr:from>
    <xdr:to>
      <xdr:col>14</xdr:col>
      <xdr:colOff>539750</xdr:colOff>
      <xdr:row>2</xdr:row>
      <xdr:rowOff>247650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6216650" y="63499"/>
          <a:ext cx="698500" cy="781051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127000</xdr:rowOff>
    </xdr:from>
    <xdr:to>
      <xdr:col>0</xdr:col>
      <xdr:colOff>860265</xdr:colOff>
      <xdr:row>34</xdr:row>
      <xdr:rowOff>111759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8200"/>
          <a:ext cx="860265" cy="3594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578556</xdr:colOff>
      <xdr:row>0</xdr:row>
      <xdr:rowOff>32806</xdr:rowOff>
    </xdr:from>
    <xdr:to>
      <xdr:col>7</xdr:col>
      <xdr:colOff>102298</xdr:colOff>
      <xdr:row>3</xdr:row>
      <xdr:rowOff>105833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5750278" y="32806"/>
          <a:ext cx="977187" cy="863249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twoCellAnchor>
  <xdr:oneCellAnchor>
    <xdr:from>
      <xdr:col>12</xdr:col>
      <xdr:colOff>409223</xdr:colOff>
      <xdr:row>0</xdr:row>
      <xdr:rowOff>138639</xdr:rowOff>
    </xdr:from>
    <xdr:ext cx="977187" cy="863249"/>
    <xdr:pic>
      <xdr:nvPicPr>
        <xdr:cNvPr id="3" name="Image 2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>
          <a:off x="10626373" y="138639"/>
          <a:ext cx="977187" cy="863249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10</xdr:col>
      <xdr:colOff>609601</xdr:colOff>
      <xdr:row>3</xdr:row>
      <xdr:rowOff>34637</xdr:rowOff>
    </xdr:to>
    <xdr:sp macro="" textlink="">
      <xdr:nvSpPr>
        <xdr:cNvPr id="2" name="Rectangle 1"/>
        <xdr:cNvSpPr/>
      </xdr:nvSpPr>
      <xdr:spPr>
        <a:xfrm>
          <a:off x="255733" y="184150"/>
          <a:ext cx="8824768" cy="218787"/>
        </a:xfrm>
        <a:prstGeom prst="rect">
          <a:avLst/>
        </a:prstGeom>
        <a:solidFill>
          <a:srgbClr val="F58220"/>
        </a:solidFill>
        <a:ln w="936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/>
        <a:lstStyle/>
        <a:p>
          <a:endParaRPr lang="fr-FR"/>
        </a:p>
      </xdr:txBody>
    </xdr:sp>
    <xdr:clientData/>
  </xdr:twoCellAnchor>
  <xdr:twoCellAnchor editAs="oneCell">
    <xdr:from>
      <xdr:col>2</xdr:col>
      <xdr:colOff>660400</xdr:colOff>
      <xdr:row>1</xdr:row>
      <xdr:rowOff>65997</xdr:rowOff>
    </xdr:from>
    <xdr:to>
      <xdr:col>3</xdr:col>
      <xdr:colOff>284630</xdr:colOff>
      <xdr:row>2</xdr:row>
      <xdr:rowOff>123491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 rot="1496400">
          <a:off x="660400" y="65997"/>
          <a:ext cx="284630" cy="241643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twoCellAnchor>
  <xdr:oneCellAnchor>
    <xdr:from>
      <xdr:col>10</xdr:col>
      <xdr:colOff>224097</xdr:colOff>
      <xdr:row>2</xdr:row>
      <xdr:rowOff>4312</xdr:rowOff>
    </xdr:from>
    <xdr:ext cx="284630" cy="241643"/>
    <xdr:pic>
      <xdr:nvPicPr>
        <xdr:cNvPr id="4" name="Image 3"/>
        <xdr:cNvPicPr/>
      </xdr:nvPicPr>
      <xdr:blipFill>
        <a:blip xmlns:r="http://schemas.openxmlformats.org/officeDocument/2006/relationships" r:embed="rId1"/>
        <a:srcRect l="-673" t="-515" r="-673" b="-515"/>
        <a:stretch/>
      </xdr:blipFill>
      <xdr:spPr>
        <a:xfrm rot="1496400">
          <a:off x="10102883" y="539526"/>
          <a:ext cx="284630" cy="241643"/>
        </a:xfrm>
        <a:prstGeom prst="rect">
          <a:avLst/>
        </a:prstGeom>
        <a:ln w="19080">
          <a:solidFill>
            <a:srgbClr val="FFFFFF"/>
          </a:solidFill>
          <a:miter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864116</xdr:colOff>
      <xdr:row>0</xdr:row>
      <xdr:rowOff>196851</xdr:rowOff>
    </xdr:from>
    <xdr:to>
      <xdr:col>5</xdr:col>
      <xdr:colOff>1517915</xdr:colOff>
      <xdr:row>9</xdr:row>
      <xdr:rowOff>107950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1216" y="196851"/>
          <a:ext cx="2514349" cy="1879599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15</xdr:row>
      <xdr:rowOff>88900</xdr:rowOff>
    </xdr:from>
    <xdr:to>
      <xdr:col>7</xdr:col>
      <xdr:colOff>457451</xdr:colOff>
      <xdr:row>19</xdr:row>
      <xdr:rowOff>6392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0" y="3168650"/>
          <a:ext cx="4883401" cy="825542"/>
        </a:xfrm>
        <a:prstGeom prst="rect">
          <a:avLst/>
        </a:prstGeom>
      </xdr:spPr>
    </xdr:pic>
    <xdr:clientData/>
  </xdr:twoCellAnchor>
  <xdr:twoCellAnchor editAs="oneCell">
    <xdr:from>
      <xdr:col>3</xdr:col>
      <xdr:colOff>622300</xdr:colOff>
      <xdr:row>32</xdr:row>
      <xdr:rowOff>69850</xdr:rowOff>
    </xdr:from>
    <xdr:to>
      <xdr:col>5</xdr:col>
      <xdr:colOff>1524140</xdr:colOff>
      <xdr:row>37</xdr:row>
      <xdr:rowOff>82607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9400" y="6597650"/>
          <a:ext cx="2730640" cy="1111307"/>
        </a:xfrm>
        <a:prstGeom prst="rect">
          <a:avLst/>
        </a:prstGeom>
      </xdr:spPr>
    </xdr:pic>
    <xdr:clientData/>
  </xdr:twoCellAnchor>
  <xdr:twoCellAnchor editAs="oneCell">
    <xdr:from>
      <xdr:col>3</xdr:col>
      <xdr:colOff>546100</xdr:colOff>
      <xdr:row>90</xdr:row>
      <xdr:rowOff>215900</xdr:rowOff>
    </xdr:from>
    <xdr:to>
      <xdr:col>5</xdr:col>
      <xdr:colOff>1765457</xdr:colOff>
      <xdr:row>97</xdr:row>
      <xdr:rowOff>127064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7350" y="18573750"/>
          <a:ext cx="3048157" cy="1244664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184150</xdr:colOff>
      <xdr:row>110</xdr:row>
      <xdr:rowOff>161702</xdr:rowOff>
    </xdr:from>
    <xdr:to>
      <xdr:col>6</xdr:col>
      <xdr:colOff>178079</xdr:colOff>
      <xdr:row>115</xdr:row>
      <xdr:rowOff>114393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07250" y="22450202"/>
          <a:ext cx="3264179" cy="1102041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137</xdr:row>
      <xdr:rowOff>20960</xdr:rowOff>
    </xdr:from>
    <xdr:to>
      <xdr:col>2</xdr:col>
      <xdr:colOff>1066800</xdr:colOff>
      <xdr:row>140</xdr:row>
      <xdr:rowOff>16893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7726010"/>
          <a:ext cx="4375150" cy="554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aison\COMPTABILITES\2A2D%20JP\2024\Bilan%20mi%20parcours%20%20ECOSAN%20fev%202024\Relev&#233;%20de%20D&#233;penses%20ECO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aison\COMPTABILITES\2A2D%20JP\2022\Livre%20de%20banque%202022%20Namk%200712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aison\COMPTABILITES\2A2D%20JP\2023\COMPTA%202023%20AVEC%20BUDGE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d"/>
      <sheetName val="Namka"/>
    </sheetNames>
    <sheetDataSet>
      <sheetData sheetId="0"/>
      <sheetData sheetId="1">
        <row r="51">
          <cell r="E51">
            <v>62882.32190244001</v>
          </cell>
        </row>
        <row r="74">
          <cell r="Q74">
            <v>17.149999999999999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ivre de banque"/>
      <sheetName val="2 CODIFICATION"/>
      <sheetName val="PAR PROJET (FL)"/>
      <sheetName val="EXTRAIT CA"/>
      <sheetName val="REGUL"/>
      <sheetName val="contrôle"/>
      <sheetName val="3 COMPTA"/>
      <sheetName val="5 1 SUIVI BUDGET"/>
      <sheetName val="5 2 SUIVI BUDGET détail"/>
      <sheetName val="Bilan fin 2020"/>
      <sheetName val="Règlementation"/>
    </sheetNames>
    <sheetDataSet>
      <sheetData sheetId="0"/>
      <sheetData sheetId="1">
        <row r="6">
          <cell r="D6">
            <v>4860</v>
          </cell>
          <cell r="E6" t="str">
            <v>Charges constatées d'avance</v>
          </cell>
        </row>
        <row r="7">
          <cell r="D7">
            <v>5120</v>
          </cell>
          <cell r="E7" t="str">
            <v>Banque</v>
          </cell>
        </row>
        <row r="8">
          <cell r="D8">
            <v>5300</v>
          </cell>
          <cell r="E8" t="str">
            <v>Caisse</v>
          </cell>
        </row>
        <row r="9">
          <cell r="D9">
            <v>6022</v>
          </cell>
          <cell r="E9" t="str">
            <v>Fournitures stockées</v>
          </cell>
        </row>
        <row r="10">
          <cell r="D10">
            <v>6040</v>
          </cell>
          <cell r="E10" t="str">
            <v>prestations études</v>
          </cell>
        </row>
        <row r="11">
          <cell r="D11">
            <v>6064</v>
          </cell>
          <cell r="E11" t="str">
            <v>Frais de fonctionnement et fourniture</v>
          </cell>
        </row>
        <row r="12">
          <cell r="D12">
            <v>6068</v>
          </cell>
          <cell r="E12" t="str">
            <v>Autres matières et fournitures</v>
          </cell>
        </row>
        <row r="13">
          <cell r="D13">
            <v>6070</v>
          </cell>
          <cell r="E13" t="str">
            <v>Achats matériaux</v>
          </cell>
        </row>
        <row r="14">
          <cell r="D14">
            <v>6071</v>
          </cell>
          <cell r="E14" t="str">
            <v>Achats fournitures et matériels</v>
          </cell>
        </row>
        <row r="15">
          <cell r="D15">
            <v>6110</v>
          </cell>
          <cell r="E15" t="str">
            <v>Sous traitance projet</v>
          </cell>
        </row>
        <row r="16">
          <cell r="D16">
            <v>6160</v>
          </cell>
          <cell r="E16" t="str">
            <v>Assurance RC</v>
          </cell>
        </row>
        <row r="17">
          <cell r="D17">
            <v>6181</v>
          </cell>
          <cell r="E17" t="str">
            <v>documentation générale</v>
          </cell>
        </row>
        <row r="18">
          <cell r="D18">
            <v>6230</v>
          </cell>
          <cell r="E18" t="str">
            <v>communication</v>
          </cell>
        </row>
        <row r="19">
          <cell r="D19">
            <v>6240</v>
          </cell>
          <cell r="E19" t="str">
            <v>Transports</v>
          </cell>
        </row>
        <row r="20">
          <cell r="D20">
            <v>6250</v>
          </cell>
          <cell r="E20" t="str">
            <v>déplacements</v>
          </cell>
        </row>
        <row r="21">
          <cell r="D21">
            <v>6256</v>
          </cell>
          <cell r="E21" t="str">
            <v>Frais de mission</v>
          </cell>
        </row>
        <row r="22">
          <cell r="D22">
            <v>6261</v>
          </cell>
          <cell r="E22" t="str">
            <v>Frais d'envoi</v>
          </cell>
        </row>
        <row r="23">
          <cell r="D23">
            <v>6262</v>
          </cell>
          <cell r="E23" t="str">
            <v>Téléphones</v>
          </cell>
        </row>
        <row r="24">
          <cell r="D24">
            <v>6270</v>
          </cell>
          <cell r="E24" t="str">
            <v>Frais de banque</v>
          </cell>
        </row>
        <row r="25">
          <cell r="D25">
            <v>6281</v>
          </cell>
          <cell r="E25" t="str">
            <v>adhésion Hellasso+ autres</v>
          </cell>
        </row>
        <row r="26">
          <cell r="D26">
            <v>6282</v>
          </cell>
          <cell r="E26" t="str">
            <v>adhésion RAHMI</v>
          </cell>
        </row>
        <row r="27">
          <cell r="D27">
            <v>6700</v>
          </cell>
          <cell r="E27" t="str">
            <v>charges esceptionnelles</v>
          </cell>
        </row>
        <row r="28">
          <cell r="D28">
            <v>7080</v>
          </cell>
          <cell r="E28" t="str">
            <v>produits activités annexes</v>
          </cell>
        </row>
        <row r="29">
          <cell r="D29">
            <v>7088</v>
          </cell>
          <cell r="E29" t="str">
            <v>produits divers</v>
          </cell>
        </row>
        <row r="30">
          <cell r="D30">
            <v>7410</v>
          </cell>
          <cell r="E30" t="str">
            <v>Subventions Aquitaine HM</v>
          </cell>
        </row>
        <row r="31">
          <cell r="D31">
            <v>7420</v>
          </cell>
          <cell r="E31" t="str">
            <v xml:space="preserve">subvention AMP </v>
          </cell>
        </row>
        <row r="32">
          <cell r="D32">
            <v>7480</v>
          </cell>
          <cell r="E32" t="str">
            <v>Subventions Teuillac</v>
          </cell>
        </row>
        <row r="33">
          <cell r="D33">
            <v>7581</v>
          </cell>
          <cell r="E33" t="str">
            <v>Adhésions association</v>
          </cell>
        </row>
        <row r="34">
          <cell r="D34">
            <v>7771</v>
          </cell>
          <cell r="E34" t="str">
            <v>Dons et participations à l"association</v>
          </cell>
        </row>
        <row r="35">
          <cell r="D35">
            <v>8620</v>
          </cell>
          <cell r="E35" t="str">
            <v>Prestations</v>
          </cell>
        </row>
        <row r="36">
          <cell r="D36">
            <v>8640</v>
          </cell>
          <cell r="E36" t="str">
            <v>Personnels bénévoles</v>
          </cell>
        </row>
        <row r="37">
          <cell r="D37">
            <v>8700</v>
          </cell>
          <cell r="E37" t="str">
            <v>Bénévolat</v>
          </cell>
        </row>
        <row r="38">
          <cell r="D38">
            <v>8710</v>
          </cell>
          <cell r="E38" t="str">
            <v>Prestations en nature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BUD 2024"/>
      <sheetName val="Eau potable"/>
      <sheetName val="ECOSAN B3B4"/>
      <sheetName val="COMPTES FONCTIONNEMENT"/>
      <sheetName val="1B Bilan financier 2023"/>
      <sheetName val="1 BILAN PAR PROJET 2023"/>
      <sheetName val="2 CODIFICATION"/>
      <sheetName val="3 COMPTA"/>
      <sheetName val="RAPPRO"/>
      <sheetName val="ecosan evol"/>
      <sheetName val="BUD ECOSAN 2023"/>
      <sheetName val="ECOSAN DEF"/>
      <sheetName val="1 BILAN PAR PROJET 2022"/>
      <sheetName val="1B BILAN BUDGET"/>
      <sheetName val="1B BILAN GHM"/>
      <sheetName val="CHIFFRES LETTRE INFO"/>
      <sheetName val="Bilan fin 2022"/>
      <sheetName val="RAPP FIN GHM"/>
      <sheetName val="RELEVE DEPENSES GHM"/>
      <sheetName val="4 BUDGET PAR PROJET"/>
      <sheetName val="BUDGET 2022 AG"/>
      <sheetName val="Budget Hygiène Menstruelle"/>
      <sheetName val="DASSOUTE TEUILLAC"/>
      <sheetName val="4 BILAN PAR PROJET"/>
      <sheetName val="5 1 SUIVI BUDGET"/>
      <sheetName val="5 2 SUIVI BUDGET détail"/>
      <sheetName val="Bilan fin 2021"/>
      <sheetName val="Règlementatio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ADM</v>
          </cell>
          <cell r="B5" t="str">
            <v>ADMINIST ET FONCT</v>
          </cell>
          <cell r="G5">
            <v>120000</v>
          </cell>
          <cell r="H5">
            <v>1200</v>
          </cell>
          <cell r="I5" t="str">
            <v>résultats</v>
          </cell>
          <cell r="J5" t="str">
            <v>bilan</v>
          </cell>
          <cell r="K5">
            <v>12</v>
          </cell>
          <cell r="L5" t="str">
            <v>Résultat</v>
          </cell>
        </row>
        <row r="6">
          <cell r="A6" t="str">
            <v>GHM</v>
          </cell>
          <cell r="B6" t="str">
            <v>HYGIENE MENSTRUELLE</v>
          </cell>
          <cell r="G6">
            <v>450000</v>
          </cell>
          <cell r="H6">
            <v>4500</v>
          </cell>
          <cell r="I6" t="str">
            <v>Compte courant</v>
          </cell>
          <cell r="J6" t="str">
            <v>bilan</v>
          </cell>
          <cell r="K6">
            <v>45</v>
          </cell>
          <cell r="L6" t="str">
            <v>Compte courant</v>
          </cell>
        </row>
        <row r="7">
          <cell r="A7" t="str">
            <v>TE</v>
          </cell>
          <cell r="B7" t="str">
            <v>TOILETTES ECOSAN</v>
          </cell>
          <cell r="D7">
            <v>4860</v>
          </cell>
          <cell r="E7" t="str">
            <v>Charges constatées d'avance</v>
          </cell>
          <cell r="G7">
            <v>486000</v>
          </cell>
          <cell r="H7">
            <v>4860</v>
          </cell>
          <cell r="I7" t="str">
            <v>Charges constatées d'avance</v>
          </cell>
          <cell r="J7" t="str">
            <v>bilan</v>
          </cell>
          <cell r="K7">
            <v>48</v>
          </cell>
          <cell r="L7" t="str">
            <v>CCA</v>
          </cell>
        </row>
        <row r="8">
          <cell r="A8" t="str">
            <v>EP</v>
          </cell>
          <cell r="B8" t="str">
            <v>EAU POTABLE</v>
          </cell>
          <cell r="D8">
            <v>5120</v>
          </cell>
          <cell r="E8" t="str">
            <v>Banque</v>
          </cell>
          <cell r="G8">
            <v>512000</v>
          </cell>
          <cell r="H8">
            <v>5120</v>
          </cell>
          <cell r="I8" t="str">
            <v>Banque</v>
          </cell>
          <cell r="J8" t="str">
            <v>bilan</v>
          </cell>
          <cell r="K8">
            <v>50</v>
          </cell>
          <cell r="L8" t="str">
            <v>Trésorerie</v>
          </cell>
        </row>
        <row r="9">
          <cell r="A9" t="str">
            <v>ZZ</v>
          </cell>
          <cell r="B9" t="str">
            <v>SOLDE N-1</v>
          </cell>
          <cell r="D9">
            <v>5130</v>
          </cell>
          <cell r="E9" t="str">
            <v>Parts sociales</v>
          </cell>
          <cell r="G9">
            <v>513000</v>
          </cell>
          <cell r="H9">
            <v>5130</v>
          </cell>
          <cell r="I9" t="str">
            <v>Parts sociales</v>
          </cell>
          <cell r="J9" t="str">
            <v>bilan</v>
          </cell>
          <cell r="K9">
            <v>50</v>
          </cell>
          <cell r="L9" t="str">
            <v>Trésorerie</v>
          </cell>
        </row>
        <row r="10">
          <cell r="D10">
            <v>5300</v>
          </cell>
          <cell r="E10" t="str">
            <v>Caisse</v>
          </cell>
          <cell r="G10">
            <v>530000</v>
          </cell>
          <cell r="H10">
            <v>5300</v>
          </cell>
          <cell r="I10" t="str">
            <v>Caisse</v>
          </cell>
          <cell r="J10" t="str">
            <v>bilan</v>
          </cell>
          <cell r="K10">
            <v>50</v>
          </cell>
          <cell r="L10" t="str">
            <v>Trésorerie</v>
          </cell>
        </row>
        <row r="11">
          <cell r="D11">
            <v>6022</v>
          </cell>
          <cell r="E11" t="str">
            <v>Fournitures stockées</v>
          </cell>
          <cell r="G11">
            <v>602200</v>
          </cell>
          <cell r="H11">
            <v>6022</v>
          </cell>
          <cell r="I11" t="str">
            <v>Fournitures de bureau et consommables</v>
          </cell>
          <cell r="J11" t="str">
            <v>chges</v>
          </cell>
          <cell r="K11">
            <v>60</v>
          </cell>
          <cell r="L11" t="str">
            <v>Achat</v>
          </cell>
        </row>
        <row r="12">
          <cell r="D12">
            <v>6040</v>
          </cell>
          <cell r="E12" t="str">
            <v>prestations études</v>
          </cell>
          <cell r="G12">
            <v>604000</v>
          </cell>
          <cell r="H12">
            <v>6040</v>
          </cell>
          <cell r="I12" t="str">
            <v>Prestations de services (Hydrogéologue Nokbak)</v>
          </cell>
          <cell r="J12" t="str">
            <v>chges</v>
          </cell>
          <cell r="K12">
            <v>60</v>
          </cell>
          <cell r="L12" t="str">
            <v>Achat</v>
          </cell>
        </row>
        <row r="13">
          <cell r="D13">
            <v>6064</v>
          </cell>
          <cell r="E13" t="str">
            <v>Frais de fonctionnement et fourniture</v>
          </cell>
          <cell r="G13">
            <v>606100</v>
          </cell>
          <cell r="H13">
            <v>6061</v>
          </cell>
          <cell r="I13" t="str">
            <v>Fournitures non stockables (eau, électricité)</v>
          </cell>
          <cell r="J13" t="str">
            <v>chges</v>
          </cell>
          <cell r="K13">
            <v>60</v>
          </cell>
          <cell r="L13" t="str">
            <v>Achat</v>
          </cell>
        </row>
        <row r="14">
          <cell r="D14">
            <v>6068</v>
          </cell>
          <cell r="E14" t="str">
            <v>Autres matières et fournitures</v>
          </cell>
          <cell r="G14">
            <v>606400</v>
          </cell>
          <cell r="H14">
            <v>6064</v>
          </cell>
          <cell r="I14" t="str">
            <v>Fournitures administratives</v>
          </cell>
          <cell r="J14" t="str">
            <v>chges</v>
          </cell>
          <cell r="K14">
            <v>60</v>
          </cell>
          <cell r="L14" t="str">
            <v>Achat</v>
          </cell>
        </row>
        <row r="15">
          <cell r="D15">
            <v>6070</v>
          </cell>
          <cell r="E15" t="str">
            <v>Achats matériaux</v>
          </cell>
          <cell r="G15">
            <v>606800</v>
          </cell>
          <cell r="H15">
            <v>6068</v>
          </cell>
          <cell r="I15" t="str">
            <v>Autres matières et fournitures</v>
          </cell>
          <cell r="J15" t="str">
            <v>chges</v>
          </cell>
          <cell r="K15">
            <v>60</v>
          </cell>
          <cell r="L15" t="str">
            <v>Achat</v>
          </cell>
        </row>
        <row r="16">
          <cell r="D16">
            <v>6071</v>
          </cell>
          <cell r="E16" t="str">
            <v>Achats fournitures et matériels</v>
          </cell>
          <cell r="G16">
            <v>607000</v>
          </cell>
          <cell r="H16">
            <v>6070</v>
          </cell>
          <cell r="I16" t="str">
            <v>Achats matériaux</v>
          </cell>
          <cell r="J16" t="str">
            <v>chges</v>
          </cell>
          <cell r="K16">
            <v>60</v>
          </cell>
          <cell r="L16" t="str">
            <v>Achat</v>
          </cell>
        </row>
        <row r="17">
          <cell r="A17" t="str">
            <v>terminés</v>
          </cell>
          <cell r="D17">
            <v>6110</v>
          </cell>
          <cell r="E17" t="str">
            <v>Sous traitance projet</v>
          </cell>
          <cell r="G17">
            <v>607100</v>
          </cell>
          <cell r="H17">
            <v>6071</v>
          </cell>
          <cell r="I17" t="str">
            <v>Achats fournitures et matériels</v>
          </cell>
          <cell r="J17" t="str">
            <v>chges</v>
          </cell>
          <cell r="K17">
            <v>60</v>
          </cell>
          <cell r="L17" t="str">
            <v>Services extérieurs</v>
          </cell>
        </row>
        <row r="18">
          <cell r="D18">
            <v>6150</v>
          </cell>
          <cell r="E18" t="str">
            <v>Entretien réparation</v>
          </cell>
          <cell r="G18">
            <v>611000</v>
          </cell>
          <cell r="H18">
            <v>6110</v>
          </cell>
          <cell r="I18" t="str">
            <v xml:space="preserve">Sous-traitance générale </v>
          </cell>
          <cell r="J18" t="str">
            <v>chges</v>
          </cell>
          <cell r="K18">
            <v>61</v>
          </cell>
          <cell r="L18" t="str">
            <v>Services extérieurs</v>
          </cell>
        </row>
        <row r="19">
          <cell r="A19" t="str">
            <v>DT2</v>
          </cell>
          <cell r="B19" t="str">
            <v>DASSOUTE TEUILLAC CONST ECOLE</v>
          </cell>
          <cell r="D19">
            <v>6160</v>
          </cell>
          <cell r="E19" t="str">
            <v>Assurance RC</v>
          </cell>
          <cell r="G19">
            <v>613000</v>
          </cell>
          <cell r="H19">
            <v>6130</v>
          </cell>
          <cell r="I19" t="str">
            <v>Loyer et charges locatives (location)</v>
          </cell>
          <cell r="J19" t="str">
            <v>chges</v>
          </cell>
          <cell r="K19">
            <v>61</v>
          </cell>
          <cell r="L19" t="str">
            <v>Services extérieurs</v>
          </cell>
        </row>
        <row r="20">
          <cell r="A20" t="str">
            <v>DT1F</v>
          </cell>
          <cell r="B20" t="str">
            <v>DASSOUTE TEUILLAC FOURN SCOLAIRES</v>
          </cell>
          <cell r="D20">
            <v>6181</v>
          </cell>
          <cell r="E20" t="str">
            <v>documentation générale</v>
          </cell>
          <cell r="G20">
            <v>615000</v>
          </cell>
          <cell r="H20">
            <v>6150</v>
          </cell>
          <cell r="I20" t="str">
            <v>Entretien et réparations</v>
          </cell>
          <cell r="J20" t="str">
            <v>chges</v>
          </cell>
          <cell r="K20">
            <v>61</v>
          </cell>
          <cell r="L20" t="str">
            <v>Services extérieurs</v>
          </cell>
        </row>
        <row r="21">
          <cell r="A21" t="str">
            <v>DT3</v>
          </cell>
          <cell r="B21" t="str">
            <v>DASSOUTE TEUILLAC COLLEGE</v>
          </cell>
          <cell r="D21">
            <v>6228</v>
          </cell>
          <cell r="E21" t="str">
            <v>formation</v>
          </cell>
          <cell r="G21">
            <v>616000</v>
          </cell>
          <cell r="H21">
            <v>6160</v>
          </cell>
          <cell r="I21" t="str">
            <v>Primes d'assurance</v>
          </cell>
          <cell r="J21" t="str">
            <v>chges</v>
          </cell>
          <cell r="K21">
            <v>61</v>
          </cell>
          <cell r="L21" t="str">
            <v>Services extérieurs</v>
          </cell>
        </row>
        <row r="22">
          <cell r="A22" t="str">
            <v>DT1M</v>
          </cell>
          <cell r="B22" t="str">
            <v>DASSOUTE TEUILLAC MARAICHAGE</v>
          </cell>
          <cell r="D22">
            <v>6230</v>
          </cell>
          <cell r="E22" t="str">
            <v>communication</v>
          </cell>
          <cell r="G22">
            <v>618100</v>
          </cell>
          <cell r="H22">
            <v>6181</v>
          </cell>
          <cell r="I22" t="str">
            <v>Documentation générale</v>
          </cell>
          <cell r="J22" t="str">
            <v>chges</v>
          </cell>
          <cell r="K22">
            <v>61</v>
          </cell>
          <cell r="L22" t="str">
            <v>Autres services extérieurs</v>
          </cell>
        </row>
        <row r="23">
          <cell r="B23" t="str">
            <v>un élève un repas =cantine</v>
          </cell>
          <cell r="D23">
            <v>6240</v>
          </cell>
          <cell r="E23" t="str">
            <v>Transports</v>
          </cell>
          <cell r="G23">
            <v>622600</v>
          </cell>
          <cell r="H23">
            <v>6226</v>
          </cell>
          <cell r="I23" t="str">
            <v>Honoraires (comptable)</v>
          </cell>
          <cell r="J23" t="str">
            <v>chges</v>
          </cell>
          <cell r="K23">
            <v>62</v>
          </cell>
          <cell r="L23" t="str">
            <v>Autres services extérieurs</v>
          </cell>
        </row>
        <row r="24">
          <cell r="A24" t="str">
            <v>DT5</v>
          </cell>
          <cell r="B24" t="str">
            <v>DASSOUTE TEUILLAC CANTINE</v>
          </cell>
          <cell r="D24">
            <v>6250</v>
          </cell>
          <cell r="E24" t="str">
            <v>déplacements</v>
          </cell>
          <cell r="G24">
            <v>622800</v>
          </cell>
          <cell r="H24">
            <v>6228</v>
          </cell>
          <cell r="I24" t="str">
            <v>Frais de formation</v>
          </cell>
          <cell r="J24" t="str">
            <v>chges</v>
          </cell>
          <cell r="K24">
            <v>62</v>
          </cell>
          <cell r="L24" t="str">
            <v>Autres services extérieurs</v>
          </cell>
        </row>
        <row r="25">
          <cell r="A25" t="str">
            <v>FN</v>
          </cell>
          <cell r="B25" t="str">
            <v>FORAGE NOKBAK</v>
          </cell>
          <cell r="D25">
            <v>6256</v>
          </cell>
          <cell r="E25" t="str">
            <v>Frais de mission</v>
          </cell>
          <cell r="G25">
            <v>623000</v>
          </cell>
          <cell r="H25">
            <v>6230</v>
          </cell>
          <cell r="I25" t="str">
            <v>Publicité, publications, Création de site web</v>
          </cell>
          <cell r="J25" t="str">
            <v>chges</v>
          </cell>
          <cell r="K25">
            <v>62</v>
          </cell>
          <cell r="L25" t="str">
            <v>Autres services extérieurs</v>
          </cell>
        </row>
        <row r="26">
          <cell r="A26" t="str">
            <v>VO</v>
          </cell>
          <cell r="B26" t="str">
            <v>PROJET VACANCES OUVERTES</v>
          </cell>
          <cell r="D26">
            <v>6261</v>
          </cell>
          <cell r="E26" t="str">
            <v>Frais d'envoi</v>
          </cell>
          <cell r="G26">
            <v>624000</v>
          </cell>
          <cell r="H26">
            <v>6240</v>
          </cell>
          <cell r="I26" t="str">
            <v>Transports</v>
          </cell>
          <cell r="J26" t="str">
            <v>chges</v>
          </cell>
          <cell r="K26">
            <v>62</v>
          </cell>
          <cell r="L26" t="str">
            <v>Charges de personnel</v>
          </cell>
        </row>
        <row r="27">
          <cell r="A27" t="str">
            <v>DT6</v>
          </cell>
          <cell r="B27" t="str">
            <v>AGRICULTURE</v>
          </cell>
          <cell r="D27">
            <v>6262</v>
          </cell>
          <cell r="E27" t="str">
            <v>Téléphone</v>
          </cell>
          <cell r="G27">
            <v>625000</v>
          </cell>
          <cell r="H27">
            <v>6250</v>
          </cell>
          <cell r="I27" t="str">
            <v>Déplacements, missions et réceptions</v>
          </cell>
          <cell r="J27" t="str">
            <v>chges</v>
          </cell>
          <cell r="K27">
            <v>62</v>
          </cell>
          <cell r="L27" t="str">
            <v>Autres services extérieurs</v>
          </cell>
        </row>
        <row r="28">
          <cell r="A28" t="str">
            <v>DT7</v>
          </cell>
          <cell r="B28" t="str">
            <v>EGLISE DASSOUTE</v>
          </cell>
          <cell r="D28">
            <v>6270</v>
          </cell>
          <cell r="E28" t="str">
            <v>Frais de banque</v>
          </cell>
          <cell r="G28">
            <v>625100</v>
          </cell>
          <cell r="H28">
            <v>6251</v>
          </cell>
          <cell r="I28" t="str">
            <v>Voyages et déplacements</v>
          </cell>
          <cell r="J28" t="str">
            <v>chges</v>
          </cell>
          <cell r="K28">
            <v>62</v>
          </cell>
          <cell r="L28" t="str">
            <v>Autres services extérieurs</v>
          </cell>
        </row>
        <row r="29">
          <cell r="A29" t="str">
            <v xml:space="preserve">DT8 </v>
          </cell>
          <cell r="B29" t="str">
            <v>MATERIELS DASSOUTE</v>
          </cell>
          <cell r="D29">
            <v>6280</v>
          </cell>
          <cell r="E29" t="str">
            <v>Divers</v>
          </cell>
          <cell r="G29">
            <v>625600</v>
          </cell>
          <cell r="H29">
            <v>6256</v>
          </cell>
          <cell r="I29" t="str">
            <v>Missions et manifestations</v>
          </cell>
          <cell r="J29" t="str">
            <v>chges</v>
          </cell>
          <cell r="K29">
            <v>62</v>
          </cell>
          <cell r="L29" t="str">
            <v>Autres services extérieurs</v>
          </cell>
        </row>
        <row r="30">
          <cell r="A30" t="str">
            <v>DT10</v>
          </cell>
          <cell r="B30" t="str">
            <v>RENCONTRE IDAAFE</v>
          </cell>
          <cell r="D30">
            <v>6281</v>
          </cell>
          <cell r="E30" t="str">
            <v>adhésion Hellasso+ autres</v>
          </cell>
          <cell r="G30">
            <v>626100</v>
          </cell>
          <cell r="H30">
            <v>6261</v>
          </cell>
          <cell r="I30" t="str">
            <v>Frais postaux</v>
          </cell>
          <cell r="J30" t="str">
            <v>chges</v>
          </cell>
          <cell r="K30">
            <v>62</v>
          </cell>
          <cell r="L30" t="str">
            <v>Autres services extérieurs</v>
          </cell>
        </row>
        <row r="31">
          <cell r="D31">
            <v>6282</v>
          </cell>
          <cell r="E31" t="str">
            <v>adhésion RAHMI</v>
          </cell>
          <cell r="G31">
            <v>626200</v>
          </cell>
          <cell r="H31">
            <v>6262</v>
          </cell>
          <cell r="I31" t="str">
            <v>Frais de téléphone, fax et portables</v>
          </cell>
          <cell r="J31" t="str">
            <v>chges</v>
          </cell>
          <cell r="K31">
            <v>62</v>
          </cell>
          <cell r="L31" t="str">
            <v>Autres services extérieurs</v>
          </cell>
        </row>
        <row r="32">
          <cell r="D32">
            <v>6410</v>
          </cell>
          <cell r="E32" t="str">
            <v>Rémunérations</v>
          </cell>
          <cell r="G32">
            <v>627000</v>
          </cell>
          <cell r="H32">
            <v>6270</v>
          </cell>
          <cell r="I32" t="str">
            <v>Frais bancaires</v>
          </cell>
          <cell r="J32" t="str">
            <v>chges</v>
          </cell>
          <cell r="K32">
            <v>62</v>
          </cell>
          <cell r="L32" t="str">
            <v>Autres services extérieurs</v>
          </cell>
        </row>
        <row r="33">
          <cell r="D33">
            <v>6480</v>
          </cell>
          <cell r="E33" t="str">
            <v>Autres charges de personeel</v>
          </cell>
          <cell r="G33">
            <v>628000</v>
          </cell>
          <cell r="H33">
            <v>6280</v>
          </cell>
          <cell r="I33" t="str">
            <v>Divers</v>
          </cell>
          <cell r="J33" t="str">
            <v>chges</v>
          </cell>
          <cell r="K33">
            <v>62</v>
          </cell>
          <cell r="L33" t="str">
            <v>Autres services extérieurs</v>
          </cell>
        </row>
        <row r="34">
          <cell r="D34">
            <v>6700</v>
          </cell>
          <cell r="E34" t="str">
            <v>Charges exceptionnelles</v>
          </cell>
          <cell r="G34">
            <v>628100</v>
          </cell>
          <cell r="H34">
            <v>6281</v>
          </cell>
          <cell r="I34" t="str">
            <v>adhesion Hellasso</v>
          </cell>
          <cell r="J34" t="str">
            <v>chges</v>
          </cell>
          <cell r="K34">
            <v>62</v>
          </cell>
          <cell r="L34" t="str">
            <v>Autres services extérieurs</v>
          </cell>
        </row>
        <row r="35">
          <cell r="D35">
            <v>7080</v>
          </cell>
          <cell r="E35" t="str">
            <v>produits activités annexes</v>
          </cell>
          <cell r="G35">
            <v>628200</v>
          </cell>
          <cell r="H35">
            <v>6282</v>
          </cell>
          <cell r="I35" t="str">
            <v>adhésion RAHMI</v>
          </cell>
          <cell r="J35" t="str">
            <v>chges</v>
          </cell>
          <cell r="K35">
            <v>62</v>
          </cell>
          <cell r="L35" t="str">
            <v>Autres services extérieurs</v>
          </cell>
        </row>
        <row r="36">
          <cell r="D36">
            <v>7088</v>
          </cell>
          <cell r="E36" t="str">
            <v>produits divers</v>
          </cell>
          <cell r="G36">
            <v>641000</v>
          </cell>
          <cell r="H36">
            <v>6410</v>
          </cell>
          <cell r="I36" t="str">
            <v>Rémunérations du personnel (salaire brut)</v>
          </cell>
          <cell r="J36" t="str">
            <v>chges</v>
          </cell>
          <cell r="K36">
            <v>64</v>
          </cell>
          <cell r="L36" t="str">
            <v>Charges de personnel</v>
          </cell>
        </row>
        <row r="37">
          <cell r="D37">
            <v>7410</v>
          </cell>
          <cell r="E37" t="str">
            <v>Subventions Région Nouvelle Aquitaine</v>
          </cell>
          <cell r="G37">
            <v>645000</v>
          </cell>
          <cell r="H37">
            <v>6450</v>
          </cell>
          <cell r="I37" t="str">
            <v>Charges de sécurité sociale et de prévoyance</v>
          </cell>
          <cell r="J37" t="str">
            <v>chges</v>
          </cell>
          <cell r="K37">
            <v>64</v>
          </cell>
          <cell r="L37" t="str">
            <v>Charges de personnel</v>
          </cell>
        </row>
        <row r="38">
          <cell r="D38">
            <v>7420</v>
          </cell>
          <cell r="E38" t="str">
            <v>Subvention Agence Micro Projet</v>
          </cell>
          <cell r="G38">
            <v>648000</v>
          </cell>
          <cell r="H38">
            <v>6480</v>
          </cell>
          <cell r="I38" t="str">
            <v>Autres charges de personnel</v>
          </cell>
          <cell r="J38" t="str">
            <v>chges</v>
          </cell>
          <cell r="K38">
            <v>64</v>
          </cell>
          <cell r="L38" t="str">
            <v>Charges de personnel</v>
          </cell>
        </row>
        <row r="39">
          <cell r="D39">
            <v>7430</v>
          </cell>
          <cell r="E39" t="str">
            <v>Subvention Agence Adour Garonne</v>
          </cell>
          <cell r="G39">
            <v>648100</v>
          </cell>
          <cell r="H39">
            <v>6481</v>
          </cell>
          <cell r="I39" t="str">
            <v>Mise à disposition gratuites de biens</v>
          </cell>
          <cell r="J39" t="str">
            <v>chges</v>
          </cell>
          <cell r="K39">
            <v>64</v>
          </cell>
          <cell r="L39" t="str">
            <v>Dotations aux amort et aux prov</v>
          </cell>
        </row>
        <row r="40">
          <cell r="D40">
            <v>7440</v>
          </cell>
          <cell r="E40" t="str">
            <v>Subvention Bx Métropole</v>
          </cell>
          <cell r="G40">
            <v>670000</v>
          </cell>
          <cell r="H40">
            <v>6700</v>
          </cell>
          <cell r="I40" t="str">
            <v>Charges exceptionnelles</v>
          </cell>
          <cell r="J40" t="str">
            <v>chges</v>
          </cell>
          <cell r="K40">
            <v>67</v>
          </cell>
          <cell r="L40" t="str">
            <v>charges exceptionnelles</v>
          </cell>
        </row>
        <row r="41">
          <cell r="D41">
            <v>7450</v>
          </cell>
          <cell r="E41" t="str">
            <v>Subv Aglo de Brive / Valorem</v>
          </cell>
          <cell r="G41">
            <v>681000</v>
          </cell>
          <cell r="H41">
            <v>6810</v>
          </cell>
          <cell r="I41" t="str">
            <v>Dotations aux amort et aux prov</v>
          </cell>
          <cell r="J41" t="str">
            <v>chges</v>
          </cell>
          <cell r="K41">
            <v>68</v>
          </cell>
          <cell r="L41" t="str">
            <v>Ventes et prestations de services</v>
          </cell>
        </row>
        <row r="42">
          <cell r="D42">
            <v>7480</v>
          </cell>
          <cell r="E42" t="str">
            <v>Subventions Fraternité</v>
          </cell>
          <cell r="G42">
            <v>706000</v>
          </cell>
          <cell r="H42">
            <v>7060</v>
          </cell>
          <cell r="I42" t="str">
            <v>Prestations de services</v>
          </cell>
          <cell r="J42" t="str">
            <v>pdts</v>
          </cell>
          <cell r="K42">
            <v>70</v>
          </cell>
          <cell r="L42" t="str">
            <v>Ventes et prestations de services</v>
          </cell>
        </row>
        <row r="43">
          <cell r="D43">
            <v>7581</v>
          </cell>
          <cell r="E43" t="str">
            <v>Adhésions association</v>
          </cell>
          <cell r="G43">
            <v>708000</v>
          </cell>
          <cell r="H43">
            <v>7080</v>
          </cell>
          <cell r="I43" t="str">
            <v>Produits des activités annexes</v>
          </cell>
          <cell r="J43" t="str">
            <v>pdts</v>
          </cell>
          <cell r="K43">
            <v>70</v>
          </cell>
          <cell r="L43" t="str">
            <v>Ventes et prestations de services</v>
          </cell>
        </row>
        <row r="44">
          <cell r="D44">
            <v>7660</v>
          </cell>
          <cell r="E44" t="str">
            <v>Produits financiers</v>
          </cell>
          <cell r="G44">
            <v>708800</v>
          </cell>
          <cell r="H44">
            <v>7088</v>
          </cell>
          <cell r="I44" t="str">
            <v>Divers</v>
          </cell>
          <cell r="J44" t="str">
            <v>pdts</v>
          </cell>
          <cell r="K44">
            <v>70</v>
          </cell>
          <cell r="L44" t="str">
            <v>Subventions d'exploitation</v>
          </cell>
        </row>
        <row r="45">
          <cell r="D45">
            <v>7770</v>
          </cell>
          <cell r="E45" t="str">
            <v>Produits exceptionnels</v>
          </cell>
          <cell r="G45">
            <v>740000</v>
          </cell>
          <cell r="H45">
            <v>7400</v>
          </cell>
          <cell r="I45" t="str">
            <v>Subventions</v>
          </cell>
          <cell r="J45" t="str">
            <v>pdts</v>
          </cell>
          <cell r="K45">
            <v>74</v>
          </cell>
          <cell r="L45" t="str">
            <v>Subventions d'exploitation</v>
          </cell>
        </row>
        <row r="46">
          <cell r="D46">
            <v>7771</v>
          </cell>
          <cell r="E46" t="str">
            <v>Dons et participations à l"association</v>
          </cell>
          <cell r="G46">
            <v>741000</v>
          </cell>
          <cell r="H46">
            <v>7410</v>
          </cell>
          <cell r="I46" t="str">
            <v>Région Nouvelle-Aquitaine</v>
          </cell>
          <cell r="J46" t="str">
            <v>pdts</v>
          </cell>
          <cell r="K46">
            <v>74</v>
          </cell>
          <cell r="L46" t="str">
            <v>Subventions d'exploitation</v>
          </cell>
        </row>
        <row r="47">
          <cell r="D47">
            <v>8620</v>
          </cell>
          <cell r="E47" t="str">
            <v>Prestations</v>
          </cell>
          <cell r="G47">
            <v>742000</v>
          </cell>
          <cell r="H47">
            <v>7420</v>
          </cell>
          <cell r="I47" t="str">
            <v>AMP-GRATITUDE</v>
          </cell>
          <cell r="J47" t="str">
            <v>pdts</v>
          </cell>
          <cell r="K47">
            <v>74</v>
          </cell>
          <cell r="L47" t="str">
            <v>Subventions d'exploitation</v>
          </cell>
        </row>
        <row r="48">
          <cell r="D48">
            <v>8640</v>
          </cell>
          <cell r="E48" t="str">
            <v>Personnels bénévoles</v>
          </cell>
          <cell r="G48">
            <v>743000</v>
          </cell>
          <cell r="H48">
            <v>7430</v>
          </cell>
          <cell r="I48" t="str">
            <v>subvention Agence Adour Garonne</v>
          </cell>
          <cell r="J48" t="str">
            <v>pdts</v>
          </cell>
          <cell r="K48">
            <v>74</v>
          </cell>
          <cell r="L48" t="str">
            <v>Subventions d'exploitation</v>
          </cell>
        </row>
        <row r="49">
          <cell r="D49">
            <v>8700</v>
          </cell>
          <cell r="E49" t="str">
            <v>Bénévolat</v>
          </cell>
          <cell r="G49">
            <v>744000</v>
          </cell>
          <cell r="H49">
            <v>7440</v>
          </cell>
          <cell r="I49" t="str">
            <v>Subvention Bx Métropole</v>
          </cell>
          <cell r="J49" t="str">
            <v>pdts</v>
          </cell>
          <cell r="K49">
            <v>74</v>
          </cell>
          <cell r="L49" t="str">
            <v>Subventions d'exploitation</v>
          </cell>
        </row>
        <row r="50">
          <cell r="D50">
            <v>8710</v>
          </cell>
          <cell r="E50" t="str">
            <v>Prestations en nature</v>
          </cell>
          <cell r="G50">
            <v>745000</v>
          </cell>
          <cell r="H50">
            <v>7450</v>
          </cell>
          <cell r="I50" t="str">
            <v>Subv Aglo de Brive / Valorem</v>
          </cell>
          <cell r="J50" t="str">
            <v>pdts</v>
          </cell>
          <cell r="K50">
            <v>74</v>
          </cell>
          <cell r="L50" t="str">
            <v>Subventions d'exploitation</v>
          </cell>
        </row>
        <row r="51">
          <cell r="G51">
            <v>746000</v>
          </cell>
          <cell r="H51">
            <v>7460</v>
          </cell>
          <cell r="I51" t="str">
            <v>Ville de Bordeaux</v>
          </cell>
          <cell r="J51" t="str">
            <v>pdts</v>
          </cell>
          <cell r="K51">
            <v>74</v>
          </cell>
          <cell r="L51" t="str">
            <v>Subventions d'exploitation</v>
          </cell>
        </row>
        <row r="52">
          <cell r="G52">
            <v>747000</v>
          </cell>
          <cell r="H52">
            <v>7470</v>
          </cell>
          <cell r="I52" t="str">
            <v>Mairie de Saint-Loubès</v>
          </cell>
          <cell r="J52" t="str">
            <v>pdts</v>
          </cell>
          <cell r="K52">
            <v>74</v>
          </cell>
          <cell r="L52" t="str">
            <v>Subventions d'exploitation</v>
          </cell>
        </row>
        <row r="53">
          <cell r="G53">
            <v>748000</v>
          </cell>
          <cell r="H53">
            <v>7480</v>
          </cell>
          <cell r="I53" t="str">
            <v>Mairie de Teuillac</v>
          </cell>
          <cell r="J53" t="str">
            <v>pdts</v>
          </cell>
          <cell r="K53">
            <v>74</v>
          </cell>
          <cell r="L53" t="str">
            <v>Subventions d'exploitation</v>
          </cell>
        </row>
        <row r="54">
          <cell r="G54">
            <v>749000</v>
          </cell>
          <cell r="H54">
            <v>7490</v>
          </cell>
          <cell r="I54" t="str">
            <v>Etats (Préfecture - DRJSCS)</v>
          </cell>
          <cell r="J54" t="str">
            <v>pdts</v>
          </cell>
          <cell r="K54">
            <v>74</v>
          </cell>
          <cell r="L54" t="str">
            <v>Autres produits de gestion courante</v>
          </cell>
        </row>
        <row r="55">
          <cell r="G55">
            <v>758000</v>
          </cell>
          <cell r="H55">
            <v>7580</v>
          </cell>
          <cell r="I55" t="str">
            <v>Produits divers de gestion courante</v>
          </cell>
          <cell r="J55" t="str">
            <v>pdts</v>
          </cell>
          <cell r="K55">
            <v>75</v>
          </cell>
          <cell r="L55" t="str">
            <v>Autres produits de gestion courante</v>
          </cell>
        </row>
        <row r="56">
          <cell r="G56">
            <v>758100</v>
          </cell>
          <cell r="H56">
            <v>7581</v>
          </cell>
          <cell r="I56" t="str">
            <v>Cotisations individuelles et associatives</v>
          </cell>
          <cell r="J56" t="str">
            <v>pdts</v>
          </cell>
          <cell r="K56">
            <v>75</v>
          </cell>
          <cell r="L56" t="str">
            <v>Autres produits de gestion courante</v>
          </cell>
        </row>
        <row r="57">
          <cell r="G57">
            <v>758200</v>
          </cell>
          <cell r="H57">
            <v>7582</v>
          </cell>
          <cell r="I57" t="str">
            <v>Partenariats et manifestations</v>
          </cell>
          <cell r="J57" t="str">
            <v>pdts</v>
          </cell>
          <cell r="K57">
            <v>75</v>
          </cell>
          <cell r="L57" t="str">
            <v>Autres produits de gestion courante</v>
          </cell>
        </row>
        <row r="58">
          <cell r="G58">
            <v>758300</v>
          </cell>
          <cell r="H58">
            <v>7583</v>
          </cell>
          <cell r="I58" t="str">
            <v>Publicités, publications, site web</v>
          </cell>
          <cell r="J58" t="str">
            <v>pdts</v>
          </cell>
          <cell r="K58">
            <v>75</v>
          </cell>
          <cell r="L58" t="str">
            <v>Autres produits de gestion courante</v>
          </cell>
        </row>
        <row r="59">
          <cell r="G59">
            <v>758800</v>
          </cell>
          <cell r="H59">
            <v>7588</v>
          </cell>
          <cell r="I59" t="str">
            <v>Fonds propres</v>
          </cell>
          <cell r="J59" t="str">
            <v>pdts</v>
          </cell>
          <cell r="K59">
            <v>75</v>
          </cell>
          <cell r="L59" t="str">
            <v>Produits financiers</v>
          </cell>
        </row>
        <row r="60">
          <cell r="G60">
            <v>766000</v>
          </cell>
          <cell r="H60">
            <v>7660</v>
          </cell>
          <cell r="I60" t="str">
            <v>Produits financiers</v>
          </cell>
          <cell r="J60" t="str">
            <v>pdts</v>
          </cell>
          <cell r="K60">
            <v>76</v>
          </cell>
          <cell r="L60" t="str">
            <v>Produits exceptionnels</v>
          </cell>
        </row>
        <row r="61">
          <cell r="G61">
            <v>777000</v>
          </cell>
          <cell r="H61">
            <v>7770</v>
          </cell>
          <cell r="I61" t="str">
            <v>Produits exceptionnels</v>
          </cell>
          <cell r="J61" t="str">
            <v>pdts</v>
          </cell>
          <cell r="K61">
            <v>77</v>
          </cell>
          <cell r="L61" t="str">
            <v>Produits exceptionnels</v>
          </cell>
        </row>
        <row r="62">
          <cell r="G62">
            <v>777100</v>
          </cell>
          <cell r="H62">
            <v>7771</v>
          </cell>
          <cell r="I62" t="str">
            <v>Dons et autres mises à dispositions gratuites</v>
          </cell>
          <cell r="J62" t="str">
            <v>pdts</v>
          </cell>
          <cell r="K62">
            <v>77</v>
          </cell>
          <cell r="L62" t="str">
            <v>Produits exceptionnels</v>
          </cell>
        </row>
        <row r="63">
          <cell r="G63">
            <v>777200</v>
          </cell>
          <cell r="H63">
            <v>7772</v>
          </cell>
          <cell r="I63" t="str">
            <v>Autres partenariats</v>
          </cell>
          <cell r="J63" t="str">
            <v>pdts</v>
          </cell>
          <cell r="K63">
            <v>77</v>
          </cell>
          <cell r="L63" t="str">
            <v>Emplois des contributions volontaires</v>
          </cell>
        </row>
        <row r="64">
          <cell r="G64">
            <v>860000</v>
          </cell>
          <cell r="H64">
            <v>8600</v>
          </cell>
          <cell r="I64" t="str">
            <v>Secours en nature</v>
          </cell>
          <cell r="J64" t="str">
            <v>chges</v>
          </cell>
          <cell r="K64">
            <v>86</v>
          </cell>
          <cell r="L64" t="str">
            <v>Emplois des contributions volontaires</v>
          </cell>
        </row>
        <row r="65">
          <cell r="G65">
            <v>861000</v>
          </cell>
          <cell r="H65">
            <v>8610</v>
          </cell>
          <cell r="I65" t="str">
            <v>Mise à disposition gratuite de biens</v>
          </cell>
          <cell r="J65" t="str">
            <v>chges</v>
          </cell>
          <cell r="K65">
            <v>86</v>
          </cell>
          <cell r="L65" t="str">
            <v>Emplois des contributions volontaires</v>
          </cell>
        </row>
        <row r="66">
          <cell r="G66">
            <v>862000</v>
          </cell>
          <cell r="H66">
            <v>8620</v>
          </cell>
          <cell r="I66" t="str">
            <v>Prestations</v>
          </cell>
          <cell r="J66" t="str">
            <v>chges</v>
          </cell>
          <cell r="K66">
            <v>86</v>
          </cell>
          <cell r="L66" t="str">
            <v>Emplois des contributions volontaires</v>
          </cell>
        </row>
        <row r="67">
          <cell r="G67">
            <v>864000</v>
          </cell>
          <cell r="H67">
            <v>8640</v>
          </cell>
          <cell r="I67" t="str">
            <v>Personnels bénévoles</v>
          </cell>
          <cell r="J67" t="str">
            <v>chges</v>
          </cell>
          <cell r="K67">
            <v>86</v>
          </cell>
          <cell r="L67" t="str">
            <v>Contributions volontaires</v>
          </cell>
        </row>
        <row r="68">
          <cell r="G68">
            <v>870000</v>
          </cell>
          <cell r="H68">
            <v>8700</v>
          </cell>
          <cell r="I68" t="str">
            <v>Bénévolat</v>
          </cell>
          <cell r="J68" t="str">
            <v>pdts</v>
          </cell>
          <cell r="K68">
            <v>87</v>
          </cell>
          <cell r="L68" t="str">
            <v>Contributions volontaires</v>
          </cell>
        </row>
        <row r="69">
          <cell r="G69">
            <v>871000</v>
          </cell>
          <cell r="H69">
            <v>8710</v>
          </cell>
          <cell r="I69" t="str">
            <v>Prestations en nature</v>
          </cell>
          <cell r="J69" t="str">
            <v>pdts</v>
          </cell>
          <cell r="K69">
            <v>87</v>
          </cell>
          <cell r="L69" t="str">
            <v>Contributions volontaires</v>
          </cell>
        </row>
        <row r="70">
          <cell r="G70">
            <v>872000</v>
          </cell>
          <cell r="H70">
            <v>8720</v>
          </cell>
          <cell r="I70" t="str">
            <v>Dons en nature</v>
          </cell>
          <cell r="J70" t="str">
            <v>pdts</v>
          </cell>
          <cell r="K70">
            <v>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2%20190223%20avec%20BUDG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4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4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4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4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PTA%202024.xlsx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76.91434166667" createdVersion="6" refreshedVersion="6" minRefreshableVersion="3" recordCount="560">
  <cacheSource type="worksheet">
    <worksheetSource ref="A9:T622" sheet="3 COMPTA" r:id="rId2"/>
  </cacheSource>
  <cacheFields count="20">
    <cacheField name="R/B" numFmtId="0">
      <sharedItems containsBlank="1" count="5">
        <s v="réel"/>
        <s v="budget"/>
        <s v="budget 2"/>
        <s v="budget 3"/>
        <m/>
      </sharedItems>
    </cacheField>
    <cacheField name="Journal" numFmtId="0">
      <sharedItems containsBlank="1"/>
    </cacheField>
    <cacheField name="N° de pièce" numFmtId="0">
      <sharedItems containsBlank="1" containsMixedTypes="1" containsNumber="1" containsInteger="1" minValue="1" maxValue="13430816220"/>
    </cacheField>
    <cacheField name="Date" numFmtId="0">
      <sharedItems containsNonDate="0" containsDate="1" containsString="0" containsBlank="1" minDate="2020-01-01T00:00:00" maxDate="2024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2100" maxValue="54497"/>
    </cacheField>
    <cacheField name="Sorties" numFmtId="4">
      <sharedItems containsString="0" containsBlank="1" containsNumber="1" minValue="-2000" maxValue="45555"/>
    </cacheField>
    <cacheField name="Solde cumulé" numFmtId="0">
      <sharedItems containsBlank="1" containsMixedTypes="1" containsNumber="1" minValue="-102341.99" maxValue="25909.969999999998"/>
    </cacheField>
    <cacheField name="Code Projet" numFmtId="0">
      <sharedItems containsBlank="1"/>
    </cacheField>
    <cacheField name="NATURE" numFmtId="0">
      <sharedItems containsString="0" containsBlank="1" containsNumber="1" containsInteger="1" minValue="4500" maxValue="8710" count="44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770"/>
        <n v="6283"/>
        <n v="7430"/>
        <m/>
      </sharedItems>
    </cacheField>
    <cacheField name="LIB Projet" numFmtId="0">
      <sharedItems containsBlank="1" count="15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m/>
      </sharedItems>
    </cacheField>
    <cacheField name="LIB NATURE" numFmtId="0">
      <sharedItems containsBlank="1" count="44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s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Produits exceptionnels"/>
        <e v="#N/A"/>
        <s v="Subvention Agence Adour Garonne"/>
        <m/>
      </sharedItems>
    </cacheField>
    <cacheField name="COMPTE" numFmtId="0">
      <sharedItems containsString="0" containsBlank="1" containsNumber="1" containsInteger="1" minValue="450000" maxValue="871000"/>
    </cacheField>
    <cacheField name="COMPTA" numFmtId="0">
      <sharedItems containsString="0" containsBlank="1" containsNumber="1" minValue="-45555" maxValue="54497"/>
    </cacheField>
    <cacheField name="Année" numFmtId="0">
      <sharedItems containsString="0" containsBlank="1" containsNumber="1" containsInteger="1" minValue="2020" maxValue="2023" count="5">
        <n v="2020"/>
        <n v="2021"/>
        <n v="2022"/>
        <n v="2023"/>
        <m/>
      </sharedItems>
    </cacheField>
    <cacheField name="LIBELLE" numFmtId="0">
      <sharedItems containsBlank="1"/>
    </cacheField>
    <cacheField name="CH/PDT" numFmtId="1">
      <sharedItems containsBlank="1" count="5">
        <s v="bilan"/>
        <s v="chges"/>
        <s v="pdts"/>
        <e v="#N/A"/>
        <m/>
      </sharedItems>
    </cacheField>
    <cacheField name="RGPT" numFmtId="1">
      <sharedItems containsBlank="1" containsMixedTypes="1" containsNumber="1" containsInteger="1" minValue="45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5678.571899537033" createdVersion="6" refreshedVersion="6" minRefreshableVersion="3" recordCount="847">
  <cacheSource type="worksheet">
    <worksheetSource ref="A9:T1009" sheet="3 COMPTA" r:id="rId2"/>
  </cacheSource>
  <cacheFields count="20">
    <cacheField name="R/B" numFmtId="0">
      <sharedItems containsBlank="1" count="8">
        <s v="réel"/>
        <s v="budget"/>
        <s v="budget 2"/>
        <s v="budget 3"/>
        <s v="budget 4"/>
        <s v="B1 2024"/>
        <s v="B2 2024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5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 count="16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s v="EAU POTABLE"/>
        <m/>
      </sharedItems>
    </cacheField>
    <cacheField name="LIB NATURE" numFmtId="0">
      <sharedItems containsBlank="1" count="51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e v="#N/A"/>
        <s v="Fournisseurs"/>
        <s v="Autres partenariats"/>
        <s v="Fonds propres"/>
        <m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5680.498991782406" createdVersion="6" refreshedVersion="6" minRefreshableVersion="3" recordCount="853">
  <cacheSource type="worksheet">
    <worksheetSource ref="A9:T958" sheet="3 COMPTA" r:id="rId2"/>
  </cacheSource>
  <cacheFields count="20">
    <cacheField name="R/B" numFmtId="0">
      <sharedItems containsBlank="1" count="8">
        <s v="réel"/>
        <s v="budget"/>
        <s v="budget 2"/>
        <s v="budget 3"/>
        <s v="budget 4"/>
        <s v="B1 2024"/>
        <s v="B2 2024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5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 count="17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s v="EAU POTABLE"/>
        <s v="PROJET FORAGES"/>
        <m/>
      </sharedItems>
    </cacheField>
    <cacheField name="LIB NATURE" numFmtId="0">
      <sharedItems containsBlank="1" count="51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s v="Fournisseurs"/>
        <s v="Autres partenariats"/>
        <s v="Fonds propres"/>
        <m/>
        <e v="#N/A" u="1"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eur" refreshedDate="45680.499561574077" createdVersion="6" refreshedVersion="6" minRefreshableVersion="3" recordCount="853">
  <cacheSource type="worksheet">
    <worksheetSource ref="A9:T958" sheet="3 COMPTA" r:id="rId2"/>
  </cacheSource>
  <cacheFields count="20">
    <cacheField name="R/B" numFmtId="0">
      <sharedItems containsBlank="1" count="8">
        <s v="réel"/>
        <s v="budget"/>
        <s v="budget 2"/>
        <s v="budget 3"/>
        <s v="budget 4"/>
        <s v="B1 2024"/>
        <s v="B2 2024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5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 count="17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s v="EAU POTABLE"/>
        <s v="PROJET FORAGES"/>
        <m/>
      </sharedItems>
    </cacheField>
    <cacheField name="LIB NATURE" numFmtId="0">
      <sharedItems containsBlank="1" count="51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s v="Fournisseurs"/>
        <s v="Autres partenariats"/>
        <s v="Fonds propres"/>
        <m/>
        <e v="#N/A" u="1"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eur" refreshedDate="45680.499791550923" createdVersion="6" refreshedVersion="6" minRefreshableVersion="3" recordCount="853">
  <cacheSource type="worksheet">
    <worksheetSource ref="A9:T955" sheet="3 COMPTA" r:id="rId2"/>
  </cacheSource>
  <cacheFields count="20">
    <cacheField name="R/B" numFmtId="0">
      <sharedItems containsBlank="1" count="8">
        <s v="réel"/>
        <s v="budget"/>
        <s v="budget 2"/>
        <s v="budget 3"/>
        <s v="budget 4"/>
        <s v="B1 2024"/>
        <s v="B2 2024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5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 count="18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s v="EAU POTABLE"/>
        <s v="PROJET FORAGES"/>
        <m/>
        <s v="EAU POTABLE à 25%" u="1"/>
      </sharedItems>
    </cacheField>
    <cacheField name="LIB NATURE" numFmtId="0">
      <sharedItems containsBlank="1" count="51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s v="Fournisseurs"/>
        <s v="Autres partenariats"/>
        <s v="Fonds propres"/>
        <m/>
        <e v="#N/A" u="1"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eur" refreshedDate="45680.502497222224" createdVersion="6" refreshedVersion="6" minRefreshableVersion="3" recordCount="853">
  <cacheSource type="worksheet">
    <worksheetSource ref="A9:T1009" sheet="3 COMPTA" r:id="rId2"/>
  </cacheSource>
  <cacheFields count="20">
    <cacheField name="R/B" numFmtId="0">
      <sharedItems containsBlank="1" count="8">
        <s v="réel"/>
        <s v="budget"/>
        <s v="budget 2"/>
        <s v="budget 3"/>
        <s v="budget 4"/>
        <s v="B1 2024"/>
        <s v="B2 2024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5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 count="17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s v="EAU POTABLE"/>
        <s v="PROJET FORAGES"/>
        <m/>
      </sharedItems>
    </cacheField>
    <cacheField name="LIB NATURE" numFmtId="0">
      <sharedItems containsBlank="1" count="51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s v="Fournisseurs"/>
        <s v="Autres partenariats"/>
        <s v="Fonds propres"/>
        <m/>
        <e v="#N/A" u="1"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uteur" refreshedDate="45681.805395833333" createdVersion="6" refreshedVersion="6" minRefreshableVersion="3" recordCount="941">
  <cacheSource type="worksheet">
    <worksheetSource ref="A9:T1507" sheet="3 COMPTA"/>
  </cacheSource>
  <cacheFields count="20">
    <cacheField name="R/B" numFmtId="0">
      <sharedItems containsBlank="1" count="9">
        <s v="réel"/>
        <s v="budget"/>
        <s v="budget 2"/>
        <s v="budget 3"/>
        <s v="budget 4"/>
        <s v="B1 2024"/>
        <s v="B2 2024"/>
        <s v="B1 2025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6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 count="18">
        <s v="SOLDE N-1"/>
        <s v="ADMINIST ET FONCT"/>
        <s v="HYGIENE MENSTRUELLE"/>
        <s v="DASSOUTE TEUILLAC CONST ECOLE"/>
        <s v="DASSOUTE TEUILLAC FOURN SCOLAIRES"/>
        <s v="DASSOUTE TEUILLAC MARAICHAGE"/>
        <s v="DASSOUTE TEUILLAC COLLEGE"/>
        <s v="PROJET VACANCES OUVERTES"/>
        <s v="FORAGE NOKBAK"/>
        <s v="DASSOUTE TEUILLAC CANTINE"/>
        <s v="AGRICULTURE"/>
        <s v="EGLISE DASSOUTE"/>
        <s v="MATERIELS DASSOUTE"/>
        <s v="TOILETTES ECOSAN"/>
        <s v="EAU POTABLE"/>
        <s v="PROJET FORAGES"/>
        <m/>
        <e v="#N/A" u="1"/>
      </sharedItems>
    </cacheField>
    <cacheField name="LIB NATURE" numFmtId="0">
      <sharedItems containsBlank="1" count="50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s v="Fournisseurs"/>
        <s v="Autres partenariats"/>
        <s v="Fonds propres"/>
        <m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5" count="7">
        <n v="2020"/>
        <n v="2021"/>
        <n v="2022"/>
        <n v="2023"/>
        <n v="2024"/>
        <n v="2025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Auteur" refreshedDate="45681.815743055558" createdVersion="6" refreshedVersion="6" minRefreshableVersion="3" recordCount="941">
  <cacheSource type="worksheet">
    <worksheetSource ref="A9:T962" sheet="3 COMPTA" r:id="rId2"/>
  </cacheSource>
  <cacheFields count="20">
    <cacheField name="R/B" numFmtId="0">
      <sharedItems containsBlank="1" count="9">
        <s v="réel"/>
        <s v="budget"/>
        <s v="budget 2"/>
        <s v="budget 3"/>
        <s v="budget 4"/>
        <s v="B1 2024"/>
        <s v="B2 2024"/>
        <s v="B1 2025"/>
        <m/>
      </sharedItems>
    </cacheField>
    <cacheField name="Journal" numFmtId="0">
      <sharedItems containsBlank="1" containsMixedTypes="1" containsNumber="1" containsInteger="1" minValue="2024" maxValue="2024"/>
    </cacheField>
    <cacheField name="N° de pièce" numFmtId="0">
      <sharedItems containsBlank="1" containsMixedTypes="1" containsNumber="1" containsInteger="1" minValue="1" maxValue="13430816220"/>
    </cacheField>
    <cacheField name="Date" numFmtId="14">
      <sharedItems containsNonDate="0" containsDate="1" containsString="0" containsBlank="1" minDate="2020-01-01T00:00:00" maxDate="2026-01-01T00:00:00"/>
    </cacheField>
    <cacheField name="Désignation" numFmtId="0">
      <sharedItems containsBlank="1"/>
    </cacheField>
    <cacheField name="Bénéficiaire" numFmtId="0">
      <sharedItems containsBlank="1"/>
    </cacheField>
    <cacheField name="Entrées" numFmtId="4">
      <sharedItems containsString="0" containsBlank="1" containsNumber="1" minValue="-3460.8099999999977" maxValue="54497"/>
    </cacheField>
    <cacheField name="Sorties" numFmtId="4">
      <sharedItems containsString="0" containsBlank="1" containsNumber="1" minValue="-2000" maxValue="72000"/>
    </cacheField>
    <cacheField name="Solde cumulé" numFmtId="0">
      <sharedItems containsBlank="1" containsMixedTypes="1" containsNumber="1" minValue="-102341.99" maxValue="61817.78"/>
    </cacheField>
    <cacheField name="Code Projet" numFmtId="0">
      <sharedItems containsBlank="1"/>
    </cacheField>
    <cacheField name="NATURE" numFmtId="0">
      <sharedItems containsString="0" containsBlank="1" containsNumber="1" containsInteger="1" minValue="4010" maxValue="8710" count="49">
        <n v="5120"/>
        <n v="6281"/>
        <n v="6261"/>
        <n v="6282"/>
        <n v="7771"/>
        <n v="6160"/>
        <n v="6064"/>
        <n v="7581"/>
        <n v="6040"/>
        <n v="8700"/>
        <n v="8710"/>
        <n v="8620"/>
        <n v="8640"/>
        <n v="6022"/>
        <n v="6181"/>
        <n v="6230"/>
        <n v="6250"/>
        <n v="6262"/>
        <n v="6110"/>
        <n v="6070"/>
        <n v="6071"/>
        <n v="7080"/>
        <n v="7088"/>
        <n v="7420"/>
        <n v="7410"/>
        <n v="6270"/>
        <n v="6240"/>
        <n v="6256"/>
        <n v="6068"/>
        <n v="5300"/>
        <n v="4860"/>
        <n v="6280"/>
        <n v="6228"/>
        <n v="5130"/>
        <n v="7480"/>
        <n v="6700"/>
        <n v="4500"/>
        <n v="6150"/>
        <n v="6410"/>
        <n v="6480"/>
        <n v="7430"/>
        <n v="7770"/>
        <n v="7660"/>
        <n v="7440"/>
        <n v="7450"/>
        <n v="4010"/>
        <n v="7772"/>
        <n v="7588"/>
        <m/>
      </sharedItems>
    </cacheField>
    <cacheField name="LIB Projet" numFmtId="0">
      <sharedItems containsBlank="1"/>
    </cacheField>
    <cacheField name="LIB NATURE" numFmtId="0">
      <sharedItems containsBlank="1" count="50">
        <s v="Banque"/>
        <s v="adhésion Hellasso+ autres"/>
        <s v="Frais d'envoi"/>
        <s v="adhésion RAHMI"/>
        <s v="Dons et participations à l&quot;association"/>
        <s v="Assurance RC"/>
        <s v="Frais de fonctionnement et fourniture"/>
        <s v="Adhésions association"/>
        <s v="prestations études"/>
        <s v="Bénévolat"/>
        <s v="Prestations en nature"/>
        <s v="Prestations"/>
        <s v="Personnels bénévoles"/>
        <s v="Fournitures stockées"/>
        <s v="documentation générale"/>
        <s v="communication"/>
        <s v="déplacements"/>
        <s v="Téléphone"/>
        <s v="Sous traitance projet"/>
        <s v="Achats matériaux"/>
        <s v="Achats fournitures et matériels"/>
        <s v="produits activités annexes"/>
        <s v="produits divers"/>
        <s v="Subvention Agence Micro Projet"/>
        <s v="Subventions Région Nouvelle Aquitaine"/>
        <s v="Frais de banque"/>
        <s v="Transports"/>
        <s v="Frais de mission"/>
        <s v="Autres matières et fournitures"/>
        <s v="Caisse"/>
        <s v="Charges constatées d'avance"/>
        <s v="Divers"/>
        <s v="formation"/>
        <s v="Parts sociales"/>
        <s v="Subventions Teuillac"/>
        <s v="Charges exceptionnelles"/>
        <s v="Compte courant"/>
        <s v="Entretien réparation"/>
        <s v="Rémunérations"/>
        <s v="Autres charges de personeel"/>
        <s v="Subvention Agence Adour Garonne"/>
        <s v="Produits exceptionnels"/>
        <s v="Produits financiers"/>
        <s v="Subventions Fraternité"/>
        <s v="Subvention Bx Métropole"/>
        <s v="Subv Aglo de Brive / Valorem"/>
        <s v="Fournisseurs"/>
        <s v="Autres partenariats"/>
        <s v="Fonds propres"/>
        <m/>
      </sharedItems>
    </cacheField>
    <cacheField name="COMPTE" numFmtId="0">
      <sharedItems containsString="0" containsBlank="1" containsNumber="1" containsInteger="1" minValue="401000" maxValue="871000"/>
    </cacheField>
    <cacheField name="COMPTA" numFmtId="0">
      <sharedItems containsString="0" containsBlank="1" containsNumber="1" minValue="-72000" maxValue="54497"/>
    </cacheField>
    <cacheField name="Année" numFmtId="0">
      <sharedItems containsString="0" containsBlank="1" containsNumber="1" containsInteger="1" minValue="2020" maxValue="2025" count="7">
        <n v="2020"/>
        <n v="2021"/>
        <n v="2022"/>
        <n v="2023"/>
        <n v="2024"/>
        <n v="2025"/>
        <m/>
      </sharedItems>
    </cacheField>
    <cacheField name="LIBELLE" numFmtId="0">
      <sharedItems containsBlank="1"/>
    </cacheField>
    <cacheField name="CH/PDT" numFmtId="1">
      <sharedItems containsBlank="1" count="4">
        <s v="bilan"/>
        <s v="chges"/>
        <s v="pdts"/>
        <m/>
      </sharedItems>
    </cacheField>
    <cacheField name="RGPT" numFmtId="1">
      <sharedItems containsString="0" containsBlank="1" containsNumber="1" containsInteger="1" minValue="40" maxValue="87"/>
    </cacheField>
    <cacheField name="LIB RG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0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e v="#REF!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e v="#REF!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e v="#REF!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e v="#REF!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e v="#REF!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e v="#REF!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e v="#REF!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e v="#REF!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e v="#REF!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e v="#REF!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e v="#REF!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e v="#REF!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e v="#REF!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e v="#REF!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e v="#REF!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e v="#REF!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e v="#REF!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e v="#REF!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2"/>
    <d v="2021-01-07T00:00:00"/>
    <s v="Chèque assurance RC"/>
    <s v="MAIF"/>
    <n v="124.55"/>
    <m/>
    <n v="124.55"/>
    <s v="ADM"/>
    <x v="5"/>
    <x v="1"/>
    <x v="5"/>
    <n v="616000"/>
    <n v="124.55"/>
    <x v="1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31"/>
    <x v="13"/>
    <x v="31"/>
    <n v="628000"/>
    <n v="-20"/>
    <x v="2"/>
    <s v="Divers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31"/>
    <x v="13"/>
    <x v="31"/>
    <n v="628000"/>
    <n v="-20"/>
    <x v="2"/>
    <s v="Divers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23"/>
    <x v="13"/>
    <x v="23"/>
    <n v="742000"/>
    <n v="54497"/>
    <x v="2"/>
    <s v="AMP-GRATITUD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0"/>
    <x v="1"/>
    <x v="40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41"/>
    <x v="1"/>
    <x v="41"/>
    <n v="628300"/>
    <n v="-360"/>
    <x v="0"/>
    <e v="#N/A"/>
    <x v="3"/>
    <e v="#N/A"/>
    <e v="#N/A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0"/>
    <s v="BQ"/>
    <n v="2"/>
    <d v="2021-01-07T00:00:00"/>
    <s v="Chèque assurance RC"/>
    <s v="MAIF"/>
    <m/>
    <n v="124.55"/>
    <n v="183.42000000000002"/>
    <s v="ADM"/>
    <x v="30"/>
    <x v="1"/>
    <x v="30"/>
    <n v="486000"/>
    <n v="-124.55"/>
    <x v="1"/>
    <s v="Charges constatées d'avance"/>
    <x v="0"/>
    <n v="48"/>
    <s v="CCA"/>
  </r>
  <r>
    <x v="0"/>
    <s v="BQ"/>
    <n v="3"/>
    <d v="2021-01-11T00:00:00"/>
    <s v="Virement Madame clement"/>
    <s v="2A2D"/>
    <n v="20"/>
    <m/>
    <n v="203.42000000000002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4"/>
    <d v="2021-01-12T00:00:00"/>
    <s v="Remise de chèque adhésion"/>
    <s v="2A2D"/>
    <n v="180"/>
    <m/>
    <n v="383.42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5"/>
    <d v="2021-01-15T00:00:00"/>
    <s v="Remise de chèque adhésions"/>
    <s v="2A2D"/>
    <n v="50"/>
    <m/>
    <n v="433.42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"/>
    <d v="2021-02-11T00:00:00"/>
    <s v="Virement Madame clement"/>
    <s v="2A2D"/>
    <n v="20"/>
    <m/>
    <n v="213.42000000000002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9"/>
    <d v="2021-03-11T00:00:00"/>
    <s v="Virement Madame clement"/>
    <s v="2A2D"/>
    <n v="20"/>
    <m/>
    <n v="1553.42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4-07T00:00:00"/>
    <s v="Chèque Adhésion socop"/>
    <s v="socop"/>
    <n v="0"/>
    <n v="30"/>
    <n v="1903.42"/>
    <s v="ADM"/>
    <x v="1"/>
    <x v="1"/>
    <x v="1"/>
    <n v="628100"/>
    <n v="-30"/>
    <x v="1"/>
    <s v="adhesion Hellasso"/>
    <x v="1"/>
    <n v="62"/>
    <s v="Autres services extérieurs"/>
  </r>
  <r>
    <x v="0"/>
    <s v="BQ"/>
    <n v="12"/>
    <d v="2021-04-12T00:00:00"/>
    <s v="Virement Madame clement"/>
    <s v="2A2D"/>
    <n v="20"/>
    <m/>
    <n v="1923.42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3"/>
    <d v="2021-05-11T00:00:00"/>
    <s v="Virement Madame clement"/>
    <s v="2A2D"/>
    <n v="20"/>
    <m/>
    <n v="1943.42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3"/>
    <d v="2021-05-18T00:00:00"/>
    <s v="Remise de chèque adhésions +dons"/>
    <s v="2A2D"/>
    <n v="20"/>
    <m/>
    <n v="1963.42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7"/>
    <d v="2021-06-01T00:00:00"/>
    <s v="Remise de chèque adhésions"/>
    <s v="2A2D"/>
    <n v="50"/>
    <m/>
    <n v="658.72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8"/>
    <d v="2021-06-11T00:00:00"/>
    <s v="Virement Madame clement"/>
    <s v="2A2D"/>
    <n v="20"/>
    <m/>
    <n v="678.72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9"/>
    <d v="2021-06-17T00:00:00"/>
    <s v="Chèque assurance RC"/>
    <s v="MAIF"/>
    <n v="0"/>
    <n v="96.09"/>
    <n v="582.63"/>
    <s v="ADM"/>
    <x v="5"/>
    <x v="1"/>
    <x v="5"/>
    <n v="616000"/>
    <n v="-96.09"/>
    <x v="1"/>
    <s v="Primes d'assurance"/>
    <x v="1"/>
    <n v="61"/>
    <s v="Services extérieurs"/>
  </r>
  <r>
    <x v="0"/>
    <s v="ESP"/>
    <n v="1"/>
    <d v="2021-11-02T00:00:00"/>
    <s v="Adhésion kirat"/>
    <s v="2A2D"/>
    <n v="10"/>
    <m/>
    <n v="6482.63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5"/>
    <d v="2021-07-08T00:00:00"/>
    <s v="Maif"/>
    <s v="2A2D"/>
    <n v="98.06"/>
    <m/>
    <n v="6690.6900000000005"/>
    <s v="ADM"/>
    <x v="5"/>
    <x v="1"/>
    <x v="5"/>
    <n v="616000"/>
    <n v="98.06"/>
    <x v="1"/>
    <s v="Primes d'assurance"/>
    <x v="1"/>
    <n v="61"/>
    <s v="Services extérieurs"/>
  </r>
  <r>
    <x v="0"/>
    <s v="BQ"/>
    <n v="41"/>
    <d v="2021-08-03T00:00:00"/>
    <s v="Remise cheques adhésions"/>
    <m/>
    <n v="100"/>
    <m/>
    <n v="8564.340000000002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9"/>
    <d v="2021-09-14T00:00:00"/>
    <s v="chèque founrniture bureau"/>
    <s v="INTERMARCHE"/>
    <m/>
    <n v="15.4"/>
    <n v="2745.2400000000011"/>
    <s v="ADM"/>
    <x v="6"/>
    <x v="1"/>
    <x v="6"/>
    <n v="606400"/>
    <n v="-15.4"/>
    <x v="1"/>
    <s v="Fournitures administratives"/>
    <x v="1"/>
    <n v="60"/>
    <s v="Achat"/>
  </r>
  <r>
    <x v="0"/>
    <s v="BQ"/>
    <n v="51"/>
    <d v="2021-09-28T00:00:00"/>
    <s v="chèque fourniture association"/>
    <s v="CARREFOUR"/>
    <m/>
    <n v="109.79"/>
    <n v="2244.2100000000009"/>
    <s v="ADM"/>
    <x v="6"/>
    <x v="1"/>
    <x v="6"/>
    <n v="606400"/>
    <n v="-109.79"/>
    <x v="1"/>
    <s v="Fournitures administratives"/>
    <x v="1"/>
    <n v="60"/>
    <s v="Achat"/>
  </r>
  <r>
    <x v="0"/>
    <s v="BQ"/>
    <n v="4666904"/>
    <d v="2021-10-10T00:00:00"/>
    <s v="chèque adhésion savignol"/>
    <m/>
    <n v="50"/>
    <m/>
    <n v="1912.8900000000008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112.8900000000008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132.8900000000008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152.8900000000008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182.8900000000008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2882.8900000000008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n v="675350"/>
    <d v="2021-11-06T00:00:00"/>
    <s v="Encre imprimante"/>
    <m/>
    <m/>
    <n v="26"/>
    <n v="1386.3700000000003"/>
    <s v="ADM"/>
    <x v="6"/>
    <x v="1"/>
    <x v="6"/>
    <n v="606400"/>
    <n v="-26"/>
    <x v="1"/>
    <s v="Fournitures administratives"/>
    <x v="1"/>
    <n v="60"/>
    <s v="Achat"/>
  </r>
  <r>
    <x v="0"/>
    <s v="BQ"/>
    <s v="200598017A"/>
    <d v="2021-11-09T00:00:00"/>
    <s v="Adhésion Evelyne lafon"/>
    <m/>
    <n v="30"/>
    <m/>
    <n v="1391.870000000000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441.870000000000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491.870000000000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531.870000000000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675356"/>
    <d v="2021-12-02T00:00:00"/>
    <s v="MAIF 2022"/>
    <s v="MAIF"/>
    <m/>
    <n v="111.67"/>
    <n v="1755.0500000000002"/>
    <s v="ADM"/>
    <x v="5"/>
    <x v="1"/>
    <x v="5"/>
    <n v="616000"/>
    <n v="-111.67"/>
    <x v="1"/>
    <s v="Primes d'assurance"/>
    <x v="1"/>
    <n v="61"/>
    <s v="Services extérieurs"/>
  </r>
  <r>
    <x v="0"/>
    <s v="BQ"/>
    <m/>
    <d v="2021-12-20T00:00:00"/>
    <s v="REMISE ESPECES"/>
    <s v="2A2D"/>
    <n v="250"/>
    <m/>
    <n v="2213.2800000000002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1963.2800000000002"/>
    <s v="ADM"/>
    <x v="29"/>
    <x v="1"/>
    <x v="29"/>
    <n v="530000"/>
    <n v="-250"/>
    <x v="1"/>
    <s v="Caisse"/>
    <x v="0"/>
    <n v="50"/>
    <s v="Achat"/>
  </r>
  <r>
    <x v="0"/>
    <s v="BQ"/>
    <m/>
    <d v="2021-11-30T00:00:00"/>
    <s v="PRELEVEMENT             _x000a_FACTURE 11/2021 N°2133400084474 "/>
    <s v="2A2D"/>
    <m/>
    <n v="3.8"/>
    <n v="1959.4800000000002"/>
    <s v="ADM"/>
    <x v="25"/>
    <x v="1"/>
    <x v="25"/>
    <n v="627000"/>
    <n v="-3.8"/>
    <x v="1"/>
    <s v="Frais bancaires"/>
    <x v="1"/>
    <n v="62"/>
    <s v="Autres services extérieurs"/>
  </r>
  <r>
    <x v="0"/>
    <s v="BQ"/>
    <m/>
    <d v="2021-12-31T00:00:00"/>
    <s v="Bénévolat + autres charges"/>
    <m/>
    <n v="8440"/>
    <m/>
    <n v="14399.48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 bénévolat+ AUTRES CHARGES"/>
    <m/>
    <m/>
    <n v="8440"/>
    <n v="1959.4799999999996"/>
    <s v="ADM"/>
    <x v="12"/>
    <x v="1"/>
    <x v="12"/>
    <n v="864000"/>
    <n v="-8440"/>
    <x v="1"/>
    <s v="Personnels bénévoles"/>
    <x v="1"/>
    <n v="86"/>
    <s v="Contributions volontaires"/>
  </r>
  <r>
    <x v="0"/>
    <s v="BQ"/>
    <n v="2"/>
    <d v="2021-01-07T00:00:00"/>
    <s v="Chèque assurance RC"/>
    <s v="MAIF"/>
    <n v="124.55"/>
    <m/>
    <n v="124.55"/>
    <s v="ADM"/>
    <x v="5"/>
    <x v="1"/>
    <x v="5"/>
    <n v="616000"/>
    <n v="124.55"/>
    <x v="1"/>
    <s v="Primes d'assurance"/>
    <x v="1"/>
    <n v="61"/>
    <s v="Services extérieurs"/>
  </r>
  <r>
    <x v="3"/>
    <s v="BQ"/>
    <m/>
    <d v="2023-01-01T00:00:00"/>
    <s v="solde ouverture"/>
    <m/>
    <n v="2139.0700000000002"/>
    <m/>
    <n v="2139.0700000000002"/>
    <s v="ADM"/>
    <x v="0"/>
    <x v="1"/>
    <x v="0"/>
    <n v="512000"/>
    <n v="2139.0700000000002"/>
    <x v="3"/>
    <s v="Banque"/>
    <x v="0"/>
    <n v="50"/>
    <s v="Trésorerie"/>
  </r>
  <r>
    <x v="3"/>
    <s v="BQ"/>
    <m/>
    <d v="2023-01-01T00:00:00"/>
    <s v="solde ouverture"/>
    <m/>
    <n v="14960"/>
    <m/>
    <n v="17099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 PARTS SOCIALES 2022      _x000a_"/>
    <s v="2A2D"/>
    <m/>
    <n v="15"/>
    <n v="17084.07"/>
    <s v="ADM"/>
    <x v="0"/>
    <x v="1"/>
    <x v="0"/>
    <n v="512000"/>
    <n v="-15"/>
    <x v="3"/>
    <s v="Banque"/>
    <x v="0"/>
    <n v="50"/>
    <s v="Trésorerie"/>
  </r>
  <r>
    <x v="3"/>
    <s v="BQ"/>
    <n v="8"/>
    <d v="2023-01-07T00:00:00"/>
    <s v="ADHESIONS"/>
    <s v="2A2D"/>
    <n v="1000"/>
    <m/>
    <n v="18084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24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7974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174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24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24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24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24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14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19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526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526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81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81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78.93"/>
    <s v="TE"/>
    <x v="26"/>
    <x v="13"/>
    <x v="26"/>
    <n v="624000"/>
    <n v="-5797"/>
    <x v="3"/>
    <s v="Transports"/>
    <x v="1"/>
    <n v="62"/>
    <s v="Charges de personnel"/>
  </r>
  <r>
    <x v="3"/>
    <s v="BQ"/>
    <m/>
    <d v="2023-12-31T00:00:00"/>
    <s v="Adminitratif"/>
    <m/>
    <m/>
    <n v="960"/>
    <n v="-64338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338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338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82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82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82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82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82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85.929999999993"/>
    <s v="TE"/>
    <x v="42"/>
    <x v="13"/>
    <x v="42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85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14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14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774.070000000007"/>
    <s v="ADM"/>
    <x v="5"/>
    <x v="1"/>
    <x v="5"/>
    <n v="616000"/>
    <n v="-140"/>
    <x v="3"/>
    <s v="Primes d'assurance"/>
    <x v="1"/>
    <n v="61"/>
    <s v="Services extérieurs"/>
  </r>
  <r>
    <x v="4"/>
    <m/>
    <m/>
    <m/>
    <m/>
    <m/>
    <m/>
    <m/>
    <m/>
    <m/>
    <x v="43"/>
    <x v="14"/>
    <x v="43"/>
    <m/>
    <m/>
    <x v="4"/>
    <m/>
    <x v="4"/>
    <m/>
    <m/>
  </r>
  <r>
    <x v="4"/>
    <m/>
    <m/>
    <m/>
    <m/>
    <m/>
    <m/>
    <m/>
    <m/>
    <m/>
    <x v="43"/>
    <x v="14"/>
    <x v="43"/>
    <m/>
    <m/>
    <x v="4"/>
    <m/>
    <x v="4"/>
    <m/>
    <m/>
  </r>
  <r>
    <x v="4"/>
    <m/>
    <m/>
    <m/>
    <m/>
    <m/>
    <m/>
    <m/>
    <m/>
    <m/>
    <x v="43"/>
    <x v="14"/>
    <x v="43"/>
    <m/>
    <m/>
    <x v="4"/>
    <m/>
    <x v="4"/>
    <m/>
    <m/>
  </r>
  <r>
    <x v="4"/>
    <m/>
    <m/>
    <m/>
    <m/>
    <m/>
    <m/>
    <m/>
    <m/>
    <m/>
    <x v="43"/>
    <x v="14"/>
    <x v="43"/>
    <m/>
    <m/>
    <x v="4"/>
    <m/>
    <x v="4"/>
    <m/>
    <m/>
  </r>
  <r>
    <x v="4"/>
    <m/>
    <m/>
    <m/>
    <m/>
    <m/>
    <m/>
    <m/>
    <m/>
    <m/>
    <x v="43"/>
    <x v="14"/>
    <x v="43"/>
    <m/>
    <m/>
    <x v="4"/>
    <m/>
    <x v="4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7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x v="13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x v="1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x v="1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x v="1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x v="13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x v="1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x v="1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x v="1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x v="13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x v="13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x v="13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x v="1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x v="1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x v="13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x v="13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x v="13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x v="13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x v="13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x v="13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x v="1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x v="1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x v="1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x v="13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x v="1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x v="1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x v="13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x v="1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x v="13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x v="13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x v="1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x v="1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x v="13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x v="13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x v="13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x v="13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x v="13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x v="13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x v="1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x v="13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x v="13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x v="1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x v="1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x v="13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x v="13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x v="13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x v="13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x v="13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x v="13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x v="13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x v="13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x v="13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x v="13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x v="13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x v="13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x v="13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x v="13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x v="13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x v="13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x v="13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x v="1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x v="1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x v="13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x v="13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x v="13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x v="13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x v="13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x v="13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x v="13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x v="13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x v="1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x v="1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x v="1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x v="1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x v="13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x v="1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x v="1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x v="1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x v="1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x v="1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x v="1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x v="1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x v="1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x v="1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x v="1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x v="1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x v="14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x v="14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x v="14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x v="14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x v="14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x v="14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x v="14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x v="14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x v="14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x v="14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x v="14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x v="14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x v="14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x v="14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x v="14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x v="14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x v="14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x v="14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x v="14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x v="14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x v="14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x v="14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x v="14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x v="14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x v="14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x v="14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x v="14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x v="14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x v="14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x v="14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x v="1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x v="1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x v="13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x v="1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x v="13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x v="1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x v="1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ADM"/>
    <x v="36"/>
    <x v="1"/>
    <x v="4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x v="1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x v="13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x v="13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x v="13"/>
    <x v="47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x v="13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x v="13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x v="13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x v="13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x v="1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ADM"/>
    <x v="36"/>
    <x v="1"/>
    <x v="4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x v="1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x v="13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x v="1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x v="13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_x000a_                   "/>
    <m/>
    <n v="20"/>
    <m/>
    <n v="5697.53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_x000a_Comm de transfert "/>
    <m/>
    <m/>
    <n v="20.25"/>
    <n v="5677.2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4-04T00:00:00"/>
    <s v="VI EMIS A L'ETRANGER    _x000a_H2402007679 INITIATIVE CITOYENNE "/>
    <m/>
    <m/>
    <n v="300"/>
    <n v="5377.28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x v="1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x v="13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x v="1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x v="1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x v="1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x v="1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x v="1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x v="1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x v="1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x v="1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x v="1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x v="1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x v="1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x v="1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x v="1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x v="1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x v="1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x v="1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x v="1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x v="1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x v="1"/>
    <x v="48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x v="1"/>
    <x v="48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x v="13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x v="13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x v="13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x v="13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x v="13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x v="13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x v="13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x v="13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x v="14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x v="14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x v="14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x v="14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x v="14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x v="14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x v="14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x v="14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x v="14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x v="14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x v="14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x v="14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x v="14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x v="14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x v="14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x v="14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x v="14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x v="14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x v="14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x v="14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x v="14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x v="14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x v="14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x v="14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x v="14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x v="14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x v="13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x v="13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x v="13"/>
    <x v="49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x v="1"/>
    <x v="49"/>
    <n v="758800"/>
    <n v="-5500"/>
    <x v="4"/>
    <s v="Fonds propres"/>
    <x v="2"/>
    <n v="75"/>
    <s v="Produits financiers"/>
  </r>
  <r>
    <x v="0"/>
    <s v="BQ"/>
    <m/>
    <d v="2024-04-23T00:00:00"/>
    <s v="CHEQUE EMIS             _x000a_3327444 "/>
    <m/>
    <m/>
    <n v="164"/>
    <n v="-3976.4299999999957"/>
    <s v="TE"/>
    <x v="16"/>
    <x v="13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x v="1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_x000a_3327445 "/>
    <m/>
    <m/>
    <n v="61.99"/>
    <n v="-3928.4199999999955"/>
    <s v="TE"/>
    <x v="15"/>
    <x v="13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_x000a_3327446 "/>
    <m/>
    <m/>
    <n v="27.47"/>
    <n v="-3935.8899999999953"/>
    <s v="TE"/>
    <x v="16"/>
    <x v="13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x v="1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x v="1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x v="1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x v="13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x v="13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x v="13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x v="1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"/>
    <x v="1"/>
    <x v="4"/>
    <n v="777100"/>
    <n v="65"/>
    <x v="4"/>
    <s v="Dons et autres mises à dispositions gratuite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x v="1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39.369999999999997"/>
    <m/>
    <n v="2398.9000000000042"/>
    <s v="ADM"/>
    <x v="7"/>
    <x v="1"/>
    <x v="7"/>
    <n v="758100"/>
    <n v="39.369999999999997"/>
    <x v="4"/>
    <s v="Cotisations individuelles et associatives"/>
    <x v="2"/>
    <n v="75"/>
    <s v="Autres produits de gestion courante"/>
  </r>
  <r>
    <x v="0"/>
    <s v="BQ"/>
    <m/>
    <d v="2024-10-05T00:00:00"/>
    <s v="CH 3327447 Rol-Up Brigitte."/>
    <m/>
    <m/>
    <n v="38.880000000000003"/>
    <n v="2360.0200000000041"/>
    <s v="ADM"/>
    <x v="28"/>
    <x v="1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77.0200000000041"/>
    <s v="TE"/>
    <x v="36"/>
    <x v="13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77.0200000000041"/>
    <s v="ADM"/>
    <x v="24"/>
    <x v="1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617.0200000000041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637.02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63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63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937.0200000000041"/>
    <s v="ADM"/>
    <x v="7"/>
    <x v="1"/>
    <x v="7"/>
    <n v="758100"/>
    <n v="300"/>
    <x v="4"/>
    <s v="Cotisations individuelles et associatives"/>
    <x v="2"/>
    <n v="75"/>
    <s v="Autres produits de gestion courante"/>
  </r>
  <r>
    <x v="0"/>
    <s v="BQ"/>
    <m/>
    <d v="2024-11-28T00:00:00"/>
    <s v="PRELEVEMENT             Comm de transfert "/>
    <m/>
    <m/>
    <n v="20.25"/>
    <n v="5916.7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300"/>
    <n v="616.77000000000407"/>
    <s v="TE"/>
    <x v="45"/>
    <x v="13"/>
    <x v="47"/>
    <n v="401000"/>
    <n v="-5300"/>
    <x v="4"/>
    <s v="Fournisseurs"/>
    <x v="0"/>
    <n v="40"/>
    <s v="Fournisseurs"/>
  </r>
  <r>
    <x v="0"/>
    <s v="BQ"/>
    <m/>
    <d v="2024-12-03T00:00:00"/>
    <s v="VIREMENT YAPLAFR-1367544 4220726                            "/>
    <m/>
    <n v="20"/>
    <m/>
    <n v="636.7700000000040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951.77000000000407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931.52000000000407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631.5200000000040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3964.5200000000041"/>
    <s v="TE"/>
    <x v="23"/>
    <x v="13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3944.2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944.27000000000407"/>
    <s v="TE"/>
    <x v="45"/>
    <x v="13"/>
    <x v="47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1094.2700000000041"/>
    <s v="ADM"/>
    <x v="7"/>
    <x v="1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1067.5100000000041"/>
    <s v="EP"/>
    <x v="2"/>
    <x v="14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1117.5100000000041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1167.5100000000041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28167.510000000006"/>
    <s v="EP"/>
    <x v="43"/>
    <x v="14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28187.510000000006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28387.510000000006"/>
    <s v="ADM"/>
    <x v="4"/>
    <x v="1"/>
    <x v="4"/>
    <n v="777100"/>
    <n v="200"/>
    <x v="4"/>
    <s v="Dons et autres mises à dispositions gratuites"/>
    <x v="2"/>
    <n v="77"/>
    <s v="Produits exceptionnels"/>
  </r>
  <r>
    <x v="7"/>
    <m/>
    <m/>
    <m/>
    <m/>
    <m/>
    <m/>
    <m/>
    <m/>
    <m/>
    <x v="48"/>
    <x v="15"/>
    <x v="50"/>
    <m/>
    <m/>
    <x v="5"/>
    <m/>
    <x v="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53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x v="13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x v="1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x v="1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x v="1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x v="13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x v="1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x v="1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x v="1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x v="13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x v="13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x v="13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x v="1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x v="1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x v="13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x v="13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x v="13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x v="13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x v="13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x v="13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x v="1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x v="1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x v="1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x v="13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x v="1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x v="1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x v="13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x v="1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x v="13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x v="13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x v="1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x v="1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x v="13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x v="13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x v="13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x v="13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x v="13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x v="13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x v="1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x v="13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x v="13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x v="1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x v="1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x v="13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x v="13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x v="13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x v="13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x v="13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x v="13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x v="13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x v="13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x v="13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x v="13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x v="13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x v="13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x v="13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x v="13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x v="13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x v="13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x v="13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x v="1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x v="1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x v="13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x v="13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x v="13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x v="13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x v="13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x v="13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x v="13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x v="13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x v="1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x v="1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x v="1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x v="1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x v="13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x v="1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x v="1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x v="1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x v="1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x v="1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x v="1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x v="1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x v="1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x v="1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x v="1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x v="1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x v="14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x v="14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x v="14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x v="14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x v="14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x v="14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x v="14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x v="14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x v="14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x v="14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x v="14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x v="14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x v="14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x v="14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x v="14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x v="14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x v="14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x v="14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x v="14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x v="14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x v="14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x v="14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x v="14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x v="14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x v="14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x v="14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x v="14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x v="14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x v="14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x v="14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x v="1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x v="1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x v="13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x v="1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x v="13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x v="1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x v="1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TE"/>
    <x v="36"/>
    <x v="13"/>
    <x v="3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x v="1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x v="13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x v="13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x v="13"/>
    <x v="46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x v="13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x v="13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x v="13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x v="13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x v="1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TE"/>
    <x v="36"/>
    <x v="13"/>
    <x v="3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x v="1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x v="13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x v="1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x v="13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"/>
    <m/>
    <n v="20"/>
    <m/>
    <n v="5697.53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Comm de transfert "/>
    <m/>
    <m/>
    <n v="20.25"/>
    <n v="5677.2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4-04T00:00:00"/>
    <s v="VH2402007679 INITIATIVE CITOYENNE "/>
    <m/>
    <m/>
    <n v="300"/>
    <n v="5377.28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x v="1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x v="13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x v="1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x v="1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x v="1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x v="1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x v="1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x v="1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x v="1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x v="1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x v="1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x v="1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x v="1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x v="1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x v="1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x v="1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x v="1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x v="1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x v="1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x v="1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x v="1"/>
    <x v="47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x v="1"/>
    <x v="47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x v="13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x v="13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x v="13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x v="13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x v="13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x v="13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x v="13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x v="13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x v="14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x v="14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x v="14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x v="14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x v="14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x v="14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x v="14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x v="14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x v="14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x v="14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x v="14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x v="14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x v="14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x v="14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x v="14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x v="14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x v="14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x v="14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x v="14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x v="14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x v="14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x v="14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x v="14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x v="14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x v="14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x v="14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x v="13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x v="13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x v="13"/>
    <x v="48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x v="1"/>
    <x v="48"/>
    <n v="758800"/>
    <n v="-5500"/>
    <x v="4"/>
    <s v="Fonds propres"/>
    <x v="2"/>
    <n v="75"/>
    <s v="Produits financiers"/>
  </r>
  <r>
    <x v="0"/>
    <s v="BQ"/>
    <m/>
    <d v="2024-04-23T00:00:00"/>
    <s v="CHEQUE EMIS             3327444 "/>
    <m/>
    <m/>
    <n v="164"/>
    <n v="-3976.4299999999957"/>
    <s v="TE"/>
    <x v="16"/>
    <x v="13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x v="1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3327445 "/>
    <m/>
    <m/>
    <n v="61.99"/>
    <n v="-3928.4199999999955"/>
    <s v="TE"/>
    <x v="15"/>
    <x v="13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3327446 "/>
    <m/>
    <m/>
    <n v="27.47"/>
    <n v="-3935.8899999999953"/>
    <s v="TE"/>
    <x v="16"/>
    <x v="13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x v="1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x v="1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x v="1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x v="13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x v="13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x v="13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x v="1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1"/>
    <x v="1"/>
    <x v="41"/>
    <n v="777000"/>
    <n v="65"/>
    <x v="4"/>
    <s v="Produits exceptionnel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x v="1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40"/>
    <m/>
    <n v="2199.5300000000043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m/>
    <n v="0.63"/>
    <n v="2358.9000000000042"/>
    <s v="ADM"/>
    <x v="25"/>
    <x v="1"/>
    <x v="25"/>
    <n v="627000"/>
    <n v="-0.63"/>
    <x v="4"/>
    <s v="Frais bancaires"/>
    <x v="1"/>
    <n v="62"/>
    <s v="Autres services extérieurs"/>
  </r>
  <r>
    <x v="0"/>
    <s v="BQ"/>
    <m/>
    <d v="2024-10-05T00:00:00"/>
    <s v="CH 3327447 Rol-Up Brigitte."/>
    <m/>
    <m/>
    <n v="38.880000000000003"/>
    <n v="2320.0200000000041"/>
    <s v="TE"/>
    <x v="28"/>
    <x v="13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37.0200000000041"/>
    <s v="TE"/>
    <x v="36"/>
    <x v="13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37.0200000000041"/>
    <s v="TE"/>
    <x v="24"/>
    <x v="13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577.0200000000041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597.02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897.0200000000041"/>
    <s v="ADM"/>
    <x v="4"/>
    <x v="1"/>
    <x v="4"/>
    <n v="777100"/>
    <n v="300"/>
    <x v="4"/>
    <s v="Dons et autres mises à dispositions gratuites"/>
    <x v="2"/>
    <n v="77"/>
    <s v="Produits exceptionnels"/>
  </r>
  <r>
    <x v="0"/>
    <s v="BQ"/>
    <m/>
    <d v="2024-11-28T00:00:00"/>
    <s v="PRELEVEMENT             Comm de transfert "/>
    <m/>
    <m/>
    <n v="20.25"/>
    <n v="5876.7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000"/>
    <n v="897.02000000000407"/>
    <s v="TE"/>
    <x v="45"/>
    <x v="13"/>
    <x v="46"/>
    <n v="401000"/>
    <n v="-5000"/>
    <x v="4"/>
    <s v="Fournisseurs"/>
    <x v="0"/>
    <n v="40"/>
    <s v="Fournisseurs"/>
  </r>
  <r>
    <x v="0"/>
    <s v="BQ"/>
    <m/>
    <d v="2024-11-28T00:00:00"/>
    <s v="VI EMIS   INITIATIVE CITOYENNE"/>
    <m/>
    <m/>
    <n v="300"/>
    <n v="5576.7700000000041"/>
    <s v="ADM"/>
    <x v="27"/>
    <x v="1"/>
    <x v="27"/>
    <n v="625600"/>
    <n v="-300"/>
    <x v="4"/>
    <s v="Missions et manifestations"/>
    <x v="1"/>
    <n v="62"/>
    <s v="Autres services extérieurs"/>
  </r>
  <r>
    <x v="0"/>
    <s v="BQ"/>
    <m/>
    <d v="2024-12-03T00:00:00"/>
    <s v="VIREMENT YAPLAFR-1367544 4220726                            "/>
    <m/>
    <n v="20"/>
    <m/>
    <n v="5596.77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5911.7700000000041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5891.52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5591.5200000000041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8924.5200000000041"/>
    <s v="TE"/>
    <x v="23"/>
    <x v="13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8904.2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5904.2700000000041"/>
    <s v="TE"/>
    <x v="45"/>
    <x v="13"/>
    <x v="46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6054.2700000000041"/>
    <s v="ADM"/>
    <x v="7"/>
    <x v="1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6027.5100000000039"/>
    <s v="PF"/>
    <x v="2"/>
    <x v="15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607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612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33127.51"/>
    <s v="PF"/>
    <x v="43"/>
    <x v="15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33147.5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33347.51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04-21T00:00:00"/>
    <s v="ajustement dépenses ECOSAN"/>
    <m/>
    <m/>
    <n v="55.4"/>
    <n v="33292.11"/>
    <s v="TE"/>
    <x v="47"/>
    <x v="13"/>
    <x v="48"/>
    <n v="758800"/>
    <n v="-55.4"/>
    <x v="4"/>
    <s v="Fonds propres"/>
    <x v="2"/>
    <n v="75"/>
    <s v="Produits financiers"/>
  </r>
  <r>
    <x v="0"/>
    <s v="BQ"/>
    <m/>
    <d v="2024-04-21T00:00:00"/>
    <s v="ajustement dépenses ECOSAN"/>
    <m/>
    <n v="55.4"/>
    <m/>
    <n v="33347.51"/>
    <s v="ADM"/>
    <x v="47"/>
    <x v="1"/>
    <x v="48"/>
    <n v="758800"/>
    <n v="55.4"/>
    <x v="4"/>
    <s v="Fonds propres"/>
    <x v="2"/>
    <n v="75"/>
    <s v="Produits financiers"/>
  </r>
  <r>
    <x v="0"/>
    <s v="BQ"/>
    <m/>
    <d v="2024-04-21T00:00:00"/>
    <s v="arrondi CCT"/>
    <m/>
    <m/>
    <n v="0.34"/>
    <n v="33347.170000000006"/>
    <s v="TE"/>
    <x v="36"/>
    <x v="13"/>
    <x v="36"/>
    <n v="450000"/>
    <n v="-0.34"/>
    <x v="4"/>
    <s v="Compte courant"/>
    <x v="0"/>
    <n v="45"/>
    <s v="Compte courant"/>
  </r>
  <r>
    <x v="0"/>
    <s v="BQ"/>
    <m/>
    <d v="2024-04-21T00:00:00"/>
    <s v="arrondi CCT"/>
    <m/>
    <n v="0.34"/>
    <m/>
    <n v="33347.51"/>
    <s v="ADM"/>
    <x v="47"/>
    <x v="1"/>
    <x v="48"/>
    <n v="758800"/>
    <n v="0.34"/>
    <x v="4"/>
    <s v="Fonds propres"/>
    <x v="2"/>
    <n v="75"/>
    <s v="Produits financiers"/>
  </r>
  <r>
    <x v="7"/>
    <m/>
    <m/>
    <m/>
    <m/>
    <m/>
    <m/>
    <m/>
    <m/>
    <m/>
    <x v="48"/>
    <x v="16"/>
    <x v="49"/>
    <m/>
    <m/>
    <x v="5"/>
    <m/>
    <x v="3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53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x v="13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x v="1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x v="1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x v="1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x v="13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x v="1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x v="1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x v="1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x v="13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x v="13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x v="13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x v="1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x v="1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x v="13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x v="13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x v="13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x v="13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x v="13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x v="13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x v="1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x v="1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x v="1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x v="13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x v="1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x v="1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x v="13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x v="1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x v="13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x v="13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x v="1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x v="1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x v="13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x v="13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x v="13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x v="13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x v="13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x v="13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x v="1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x v="13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x v="13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x v="1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x v="1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x v="13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x v="13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x v="13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x v="13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x v="13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x v="13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x v="13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x v="13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x v="13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x v="13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x v="13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x v="13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x v="13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x v="13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x v="13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x v="13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x v="13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x v="1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x v="1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x v="13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x v="13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x v="13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x v="13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x v="13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x v="13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x v="13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x v="13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x v="1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x v="1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x v="1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x v="1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x v="13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x v="1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x v="1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x v="1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x v="1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x v="1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x v="1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x v="1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x v="1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x v="1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x v="1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x v="1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x v="14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x v="14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x v="14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x v="14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x v="14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x v="14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x v="14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x v="14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x v="14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x v="14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x v="14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x v="14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x v="14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x v="14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x v="14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x v="14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x v="14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x v="14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x v="14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x v="14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x v="14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x v="14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x v="14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x v="14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x v="14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x v="14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x v="14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x v="14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x v="14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x v="14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x v="1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x v="1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x v="13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x v="1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x v="13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x v="1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x v="1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TE"/>
    <x v="36"/>
    <x v="13"/>
    <x v="3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x v="1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x v="13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x v="13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x v="13"/>
    <x v="46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x v="13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x v="13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x v="13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x v="13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x v="1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TE"/>
    <x v="36"/>
    <x v="13"/>
    <x v="3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x v="1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x v="13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x v="1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x v="13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"/>
    <m/>
    <n v="20"/>
    <m/>
    <n v="5697.53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Comm de transfert "/>
    <m/>
    <m/>
    <n v="20.25"/>
    <n v="5677.2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4-04T00:00:00"/>
    <s v="VH2402007679 INITIATIVE CITOYENNE "/>
    <m/>
    <m/>
    <n v="300"/>
    <n v="5377.28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x v="1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x v="13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x v="1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x v="1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x v="1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x v="1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x v="1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x v="1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x v="1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x v="1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x v="1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x v="1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x v="1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x v="1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x v="1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x v="1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x v="1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x v="1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x v="1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x v="1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x v="1"/>
    <x v="47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x v="1"/>
    <x v="47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x v="13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x v="13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x v="13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x v="13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x v="13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x v="13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x v="13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x v="13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x v="14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x v="14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x v="14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x v="14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x v="14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x v="14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x v="14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x v="14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x v="14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x v="14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x v="14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x v="14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x v="14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x v="14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x v="14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x v="14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x v="14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x v="14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x v="14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x v="14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x v="14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x v="14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x v="14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x v="14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x v="14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x v="14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x v="13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x v="13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x v="13"/>
    <x v="48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x v="1"/>
    <x v="48"/>
    <n v="758800"/>
    <n v="-5500"/>
    <x v="4"/>
    <s v="Fonds propres"/>
    <x v="2"/>
    <n v="75"/>
    <s v="Produits financiers"/>
  </r>
  <r>
    <x v="0"/>
    <s v="BQ"/>
    <m/>
    <d v="2024-04-23T00:00:00"/>
    <s v="CHEQUE EMIS             3327444 "/>
    <m/>
    <m/>
    <n v="164"/>
    <n v="-3976.4299999999957"/>
    <s v="TE"/>
    <x v="16"/>
    <x v="13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x v="1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3327445 "/>
    <m/>
    <m/>
    <n v="61.99"/>
    <n v="-3928.4199999999955"/>
    <s v="TE"/>
    <x v="15"/>
    <x v="13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3327446 "/>
    <m/>
    <m/>
    <n v="27.47"/>
    <n v="-3935.8899999999953"/>
    <s v="TE"/>
    <x v="16"/>
    <x v="13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x v="1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x v="1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x v="1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x v="13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x v="13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x v="13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x v="1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1"/>
    <x v="1"/>
    <x v="41"/>
    <n v="777000"/>
    <n v="65"/>
    <x v="4"/>
    <s v="Produits exceptionnel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x v="1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40"/>
    <m/>
    <n v="2199.5300000000043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m/>
    <n v="0.63"/>
    <n v="2358.9000000000042"/>
    <s v="ADM"/>
    <x v="25"/>
    <x v="1"/>
    <x v="25"/>
    <n v="627000"/>
    <n v="-0.63"/>
    <x v="4"/>
    <s v="Frais bancaires"/>
    <x v="1"/>
    <n v="62"/>
    <s v="Autres services extérieurs"/>
  </r>
  <r>
    <x v="0"/>
    <s v="BQ"/>
    <m/>
    <d v="2024-10-05T00:00:00"/>
    <s v="CH 3327447 Rol-Up Brigitte."/>
    <m/>
    <m/>
    <n v="38.880000000000003"/>
    <n v="2320.0200000000041"/>
    <s v="TE"/>
    <x v="28"/>
    <x v="13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37.0200000000041"/>
    <s v="TE"/>
    <x v="36"/>
    <x v="13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37.0200000000041"/>
    <s v="TE"/>
    <x v="24"/>
    <x v="13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577.0200000000041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597.02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897.0200000000041"/>
    <s v="ADM"/>
    <x v="4"/>
    <x v="1"/>
    <x v="4"/>
    <n v="777100"/>
    <n v="300"/>
    <x v="4"/>
    <s v="Dons et autres mises à dispositions gratuites"/>
    <x v="2"/>
    <n v="77"/>
    <s v="Produits exceptionnels"/>
  </r>
  <r>
    <x v="0"/>
    <s v="BQ"/>
    <m/>
    <d v="2024-11-28T00:00:00"/>
    <s v="PRELEVEMENT             Comm de transfert "/>
    <m/>
    <m/>
    <n v="20.25"/>
    <n v="5876.7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000"/>
    <n v="897.02000000000407"/>
    <s v="TE"/>
    <x v="45"/>
    <x v="13"/>
    <x v="46"/>
    <n v="401000"/>
    <n v="-5000"/>
    <x v="4"/>
    <s v="Fournisseurs"/>
    <x v="0"/>
    <n v="40"/>
    <s v="Fournisseurs"/>
  </r>
  <r>
    <x v="0"/>
    <s v="BQ"/>
    <m/>
    <d v="2024-11-28T00:00:00"/>
    <s v="VI EMIS   INITIATIVE CITOYENNE"/>
    <m/>
    <m/>
    <n v="300"/>
    <n v="5576.7700000000041"/>
    <s v="ADM"/>
    <x v="27"/>
    <x v="1"/>
    <x v="27"/>
    <n v="625600"/>
    <n v="-300"/>
    <x v="4"/>
    <s v="Missions et manifestations"/>
    <x v="1"/>
    <n v="62"/>
    <s v="Autres services extérieurs"/>
  </r>
  <r>
    <x v="0"/>
    <s v="BQ"/>
    <m/>
    <d v="2024-12-03T00:00:00"/>
    <s v="VIREMENT YAPLAFR-1367544 4220726                            "/>
    <m/>
    <n v="20"/>
    <m/>
    <n v="5596.77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5911.7700000000041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5891.52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5591.5200000000041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8924.5200000000041"/>
    <s v="TE"/>
    <x v="23"/>
    <x v="13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8904.2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5904.2700000000041"/>
    <s v="TE"/>
    <x v="45"/>
    <x v="13"/>
    <x v="46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6054.2700000000041"/>
    <s v="ADM"/>
    <x v="7"/>
    <x v="1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6027.5100000000039"/>
    <s v="PF"/>
    <x v="2"/>
    <x v="15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607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612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33127.51"/>
    <s v="PF"/>
    <x v="43"/>
    <x v="15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33147.5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33347.51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04-21T00:00:00"/>
    <s v="ajustement dépenses ECOSAN"/>
    <m/>
    <m/>
    <n v="55.4"/>
    <n v="33292.11"/>
    <s v="TE"/>
    <x v="47"/>
    <x v="13"/>
    <x v="48"/>
    <n v="758800"/>
    <n v="-55.4"/>
    <x v="4"/>
    <s v="Fonds propres"/>
    <x v="2"/>
    <n v="75"/>
    <s v="Produits financiers"/>
  </r>
  <r>
    <x v="0"/>
    <s v="BQ"/>
    <m/>
    <d v="2024-04-21T00:00:00"/>
    <s v="ajustement dépenses ECOSAN"/>
    <m/>
    <n v="55.4"/>
    <m/>
    <n v="33347.51"/>
    <s v="ADM"/>
    <x v="47"/>
    <x v="1"/>
    <x v="48"/>
    <n v="758800"/>
    <n v="55.4"/>
    <x v="4"/>
    <s v="Fonds propres"/>
    <x v="2"/>
    <n v="75"/>
    <s v="Produits financiers"/>
  </r>
  <r>
    <x v="0"/>
    <s v="BQ"/>
    <m/>
    <d v="2024-04-21T00:00:00"/>
    <s v="arrondi CCT"/>
    <m/>
    <m/>
    <n v="0.34"/>
    <n v="33347.170000000006"/>
    <s v="TE"/>
    <x v="36"/>
    <x v="13"/>
    <x v="36"/>
    <n v="450000"/>
    <n v="-0.34"/>
    <x v="4"/>
    <s v="Compte courant"/>
    <x v="0"/>
    <n v="45"/>
    <s v="Compte courant"/>
  </r>
  <r>
    <x v="0"/>
    <s v="BQ"/>
    <m/>
    <d v="2024-04-21T00:00:00"/>
    <s v="arrondi CCT"/>
    <m/>
    <n v="0.34"/>
    <m/>
    <n v="33347.51"/>
    <s v="ADM"/>
    <x v="47"/>
    <x v="1"/>
    <x v="48"/>
    <n v="758800"/>
    <n v="0.34"/>
    <x v="4"/>
    <s v="Fonds propres"/>
    <x v="2"/>
    <n v="75"/>
    <s v="Produits financiers"/>
  </r>
  <r>
    <x v="7"/>
    <m/>
    <m/>
    <m/>
    <m/>
    <m/>
    <m/>
    <m/>
    <m/>
    <m/>
    <x v="48"/>
    <x v="16"/>
    <x v="49"/>
    <m/>
    <m/>
    <x v="5"/>
    <m/>
    <x v="3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53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x v="13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x v="1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x v="1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x v="1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x v="13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x v="1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x v="1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x v="1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x v="13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x v="13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x v="13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x v="1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x v="1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x v="13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x v="13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x v="13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x v="13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x v="13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x v="13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x v="1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x v="1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x v="1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x v="13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x v="1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x v="1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x v="13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x v="1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x v="13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x v="13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x v="1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x v="1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x v="13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x v="13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x v="13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x v="13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x v="13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x v="13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x v="1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x v="13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x v="13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x v="1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x v="1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x v="13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x v="13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x v="13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x v="13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x v="13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x v="13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x v="13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x v="13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x v="13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x v="13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x v="13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x v="13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x v="13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x v="13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x v="13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x v="13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x v="13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x v="1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x v="1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x v="13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x v="13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x v="13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x v="13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x v="13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x v="13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x v="13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x v="13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x v="1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x v="1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x v="1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x v="1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x v="13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x v="1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x v="1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x v="1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x v="1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x v="1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x v="1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x v="1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x v="1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x v="1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x v="1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x v="1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x v="14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x v="14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x v="14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x v="14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x v="14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x v="14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x v="14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x v="14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x v="14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x v="14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x v="14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x v="14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x v="14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x v="14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x v="14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x v="14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x v="14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x v="14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x v="14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x v="14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x v="14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x v="14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x v="14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x v="14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x v="14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x v="14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x v="14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x v="14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x v="14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x v="14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x v="1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x v="1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x v="13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x v="1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x v="13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x v="1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x v="1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TE"/>
    <x v="36"/>
    <x v="13"/>
    <x v="3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x v="1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x v="13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x v="13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x v="13"/>
    <x v="46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x v="13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x v="13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x v="13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x v="13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x v="1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TE"/>
    <x v="36"/>
    <x v="13"/>
    <x v="3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x v="1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x v="13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x v="1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x v="13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"/>
    <m/>
    <n v="20"/>
    <m/>
    <n v="5697.53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Comm de transfert "/>
    <m/>
    <m/>
    <n v="20.25"/>
    <n v="5677.2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4-04T00:00:00"/>
    <s v="VH2402007679 INITIATIVE CITOYENNE "/>
    <m/>
    <m/>
    <n v="300"/>
    <n v="5377.28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x v="1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x v="13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x v="1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x v="1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x v="1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x v="1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x v="1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x v="1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x v="1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x v="1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x v="1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x v="1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x v="1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x v="1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x v="1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x v="1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x v="1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x v="1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x v="1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x v="1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x v="1"/>
    <x v="47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x v="1"/>
    <x v="47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x v="13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x v="13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x v="13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x v="13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x v="13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x v="13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x v="13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x v="13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x v="14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x v="14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x v="14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x v="14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x v="14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x v="14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x v="14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x v="14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x v="14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x v="14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x v="14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x v="14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x v="14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x v="14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x v="14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x v="14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x v="14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x v="14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x v="14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x v="14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x v="14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x v="14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x v="14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x v="14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x v="14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x v="14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x v="13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x v="13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x v="13"/>
    <x v="48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x v="1"/>
    <x v="48"/>
    <n v="758800"/>
    <n v="-5500"/>
    <x v="4"/>
    <s v="Fonds propres"/>
    <x v="2"/>
    <n v="75"/>
    <s v="Produits financiers"/>
  </r>
  <r>
    <x v="0"/>
    <s v="BQ"/>
    <m/>
    <d v="2024-04-23T00:00:00"/>
    <s v="CHEQUE EMIS             3327444 "/>
    <m/>
    <m/>
    <n v="164"/>
    <n v="-3976.4299999999957"/>
    <s v="TE"/>
    <x v="16"/>
    <x v="13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x v="1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3327445 "/>
    <m/>
    <m/>
    <n v="61.99"/>
    <n v="-3928.4199999999955"/>
    <s v="TE"/>
    <x v="15"/>
    <x v="13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3327446 "/>
    <m/>
    <m/>
    <n v="27.47"/>
    <n v="-3935.8899999999953"/>
    <s v="TE"/>
    <x v="16"/>
    <x v="13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x v="1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x v="1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x v="1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x v="13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x v="13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x v="13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x v="1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1"/>
    <x v="1"/>
    <x v="41"/>
    <n v="777000"/>
    <n v="65"/>
    <x v="4"/>
    <s v="Produits exceptionnel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x v="1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40"/>
    <m/>
    <n v="2199.5300000000043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m/>
    <n v="0.63"/>
    <n v="2358.9000000000042"/>
    <s v="ADM"/>
    <x v="25"/>
    <x v="1"/>
    <x v="25"/>
    <n v="627000"/>
    <n v="-0.63"/>
    <x v="4"/>
    <s v="Frais bancaires"/>
    <x v="1"/>
    <n v="62"/>
    <s v="Autres services extérieurs"/>
  </r>
  <r>
    <x v="0"/>
    <s v="BQ"/>
    <m/>
    <d v="2024-10-05T00:00:00"/>
    <s v="CH 3327447 Rol-Up Brigitte."/>
    <m/>
    <m/>
    <n v="38.880000000000003"/>
    <n v="2320.0200000000041"/>
    <s v="TE"/>
    <x v="28"/>
    <x v="13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37.0200000000041"/>
    <s v="TE"/>
    <x v="36"/>
    <x v="13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37.0200000000041"/>
    <s v="TE"/>
    <x v="24"/>
    <x v="13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577.0200000000041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597.02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897.0200000000041"/>
    <s v="ADM"/>
    <x v="4"/>
    <x v="1"/>
    <x v="4"/>
    <n v="777100"/>
    <n v="300"/>
    <x v="4"/>
    <s v="Dons et autres mises à dispositions gratuites"/>
    <x v="2"/>
    <n v="77"/>
    <s v="Produits exceptionnels"/>
  </r>
  <r>
    <x v="0"/>
    <s v="BQ"/>
    <m/>
    <d v="2024-11-28T00:00:00"/>
    <s v="PRELEVEMENT             Comm de transfert "/>
    <m/>
    <m/>
    <n v="20.25"/>
    <n v="5876.7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000"/>
    <n v="897.02000000000407"/>
    <s v="TE"/>
    <x v="45"/>
    <x v="13"/>
    <x v="46"/>
    <n v="401000"/>
    <n v="-5000"/>
    <x v="4"/>
    <s v="Fournisseurs"/>
    <x v="0"/>
    <n v="40"/>
    <s v="Fournisseurs"/>
  </r>
  <r>
    <x v="0"/>
    <s v="BQ"/>
    <m/>
    <d v="2024-11-28T00:00:00"/>
    <s v="VI EMIS   INITIATIVE CITOYENNE"/>
    <m/>
    <m/>
    <n v="300"/>
    <n v="5576.7700000000041"/>
    <s v="ADM"/>
    <x v="27"/>
    <x v="1"/>
    <x v="27"/>
    <n v="625600"/>
    <n v="-300"/>
    <x v="4"/>
    <s v="Missions et manifestations"/>
    <x v="1"/>
    <n v="62"/>
    <s v="Autres services extérieurs"/>
  </r>
  <r>
    <x v="0"/>
    <s v="BQ"/>
    <m/>
    <d v="2024-12-03T00:00:00"/>
    <s v="VIREMENT YAPLAFR-1367544 4220726                            "/>
    <m/>
    <n v="20"/>
    <m/>
    <n v="5596.77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5911.7700000000041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5891.52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5591.5200000000041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8924.5200000000041"/>
    <s v="TE"/>
    <x v="23"/>
    <x v="13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8904.2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5904.2700000000041"/>
    <s v="TE"/>
    <x v="45"/>
    <x v="13"/>
    <x v="46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6054.2700000000041"/>
    <s v="ADM"/>
    <x v="7"/>
    <x v="1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6027.5100000000039"/>
    <s v="PF"/>
    <x v="2"/>
    <x v="15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607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612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33127.51"/>
    <s v="PF"/>
    <x v="43"/>
    <x v="15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33147.5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33347.51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04-21T00:00:00"/>
    <s v="ajustement dépenses ECOSAN"/>
    <m/>
    <m/>
    <n v="55.4"/>
    <n v="33292.11"/>
    <s v="TE"/>
    <x v="47"/>
    <x v="13"/>
    <x v="48"/>
    <n v="758800"/>
    <n v="-55.4"/>
    <x v="4"/>
    <s v="Fonds propres"/>
    <x v="2"/>
    <n v="75"/>
    <s v="Produits financiers"/>
  </r>
  <r>
    <x v="0"/>
    <s v="BQ"/>
    <m/>
    <d v="2024-04-21T00:00:00"/>
    <s v="ajustement dépenses ECOSAN"/>
    <m/>
    <n v="55.4"/>
    <m/>
    <n v="33347.51"/>
    <s v="ADM"/>
    <x v="47"/>
    <x v="1"/>
    <x v="48"/>
    <n v="758800"/>
    <n v="55.4"/>
    <x v="4"/>
    <s v="Fonds propres"/>
    <x v="2"/>
    <n v="75"/>
    <s v="Produits financiers"/>
  </r>
  <r>
    <x v="0"/>
    <s v="BQ"/>
    <m/>
    <d v="2024-04-21T00:00:00"/>
    <s v="arrondi CCT"/>
    <m/>
    <m/>
    <n v="0.34"/>
    <n v="33347.170000000006"/>
    <s v="TE"/>
    <x v="36"/>
    <x v="13"/>
    <x v="36"/>
    <n v="450000"/>
    <n v="-0.34"/>
    <x v="4"/>
    <s v="Compte courant"/>
    <x v="0"/>
    <n v="45"/>
    <s v="Compte courant"/>
  </r>
  <r>
    <x v="0"/>
    <s v="BQ"/>
    <m/>
    <d v="2024-04-21T00:00:00"/>
    <s v="arrondi CCT"/>
    <m/>
    <n v="0.34"/>
    <m/>
    <n v="33347.51"/>
    <s v="ADM"/>
    <x v="47"/>
    <x v="1"/>
    <x v="48"/>
    <n v="758800"/>
    <n v="0.34"/>
    <x v="4"/>
    <s v="Fonds propres"/>
    <x v="2"/>
    <n v="75"/>
    <s v="Produits financiers"/>
  </r>
  <r>
    <x v="7"/>
    <m/>
    <m/>
    <m/>
    <m/>
    <m/>
    <m/>
    <m/>
    <m/>
    <m/>
    <x v="48"/>
    <x v="16"/>
    <x v="49"/>
    <m/>
    <m/>
    <x v="5"/>
    <m/>
    <x v="3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53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x v="13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x v="1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x v="1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x v="1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x v="13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x v="1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x v="1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x v="1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x v="13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x v="13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x v="13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x v="1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x v="1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x v="13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x v="13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x v="13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x v="13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x v="13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x v="13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x v="1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x v="1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x v="1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x v="13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x v="1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x v="1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x v="13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x v="1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x v="13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x v="13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x v="1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x v="1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x v="13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x v="13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x v="13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x v="13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x v="13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x v="13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x v="1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x v="13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x v="13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x v="1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x v="1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x v="13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x v="13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x v="13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x v="13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x v="13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x v="13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x v="13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x v="13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x v="13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x v="13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x v="13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x v="13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x v="13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x v="13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x v="13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x v="13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x v="13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x v="1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x v="1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x v="13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x v="13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x v="13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x v="13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x v="13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x v="13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x v="13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x v="13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x v="1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x v="1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x v="1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x v="1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x v="13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x v="1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x v="1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x v="1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x v="1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x v="1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x v="1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x v="1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x v="1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x v="1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x v="1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x v="1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x v="14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x v="14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x v="14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x v="14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x v="14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x v="14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x v="14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x v="14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x v="14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x v="14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x v="14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x v="14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x v="14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x v="14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x v="14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x v="14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x v="14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x v="14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x v="14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x v="14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x v="14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x v="14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x v="14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x v="14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x v="14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x v="14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x v="14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x v="14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x v="14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x v="14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x v="1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x v="1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x v="13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x v="1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x v="13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x v="1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x v="1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TE"/>
    <x v="36"/>
    <x v="13"/>
    <x v="3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x v="1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x v="13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x v="13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x v="13"/>
    <x v="46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x v="13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x v="13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x v="13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x v="13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x v="1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TE"/>
    <x v="36"/>
    <x v="13"/>
    <x v="3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x v="1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x v="13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x v="1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x v="13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"/>
    <m/>
    <n v="20"/>
    <m/>
    <n v="5697.53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Comm de transfert "/>
    <m/>
    <m/>
    <n v="20.25"/>
    <n v="5677.2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4-04T00:00:00"/>
    <s v="VH2402007679 INITIATIVE CITOYENNE "/>
    <m/>
    <m/>
    <n v="300"/>
    <n v="5377.28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x v="1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x v="13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x v="1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x v="1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x v="1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x v="1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x v="1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x v="1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x v="1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x v="1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x v="1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x v="1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x v="1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x v="1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x v="1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x v="1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x v="1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x v="1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x v="1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x v="1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x v="1"/>
    <x v="47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x v="1"/>
    <x v="47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x v="13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x v="13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x v="13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x v="13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x v="13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x v="13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x v="13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x v="13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x v="14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x v="14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x v="14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x v="14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x v="14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x v="14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x v="14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x v="14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x v="14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x v="14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x v="14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x v="14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x v="14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x v="14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x v="14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x v="14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x v="14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x v="14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x v="14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x v="14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x v="14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x v="14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x v="14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x v="14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x v="14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x v="14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x v="13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x v="13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x v="13"/>
    <x v="48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x v="1"/>
    <x v="48"/>
    <n v="758800"/>
    <n v="-5500"/>
    <x v="4"/>
    <s v="Fonds propres"/>
    <x v="2"/>
    <n v="75"/>
    <s v="Produits financiers"/>
  </r>
  <r>
    <x v="0"/>
    <s v="BQ"/>
    <m/>
    <d v="2024-04-23T00:00:00"/>
    <s v="CHEQUE EMIS             3327444 "/>
    <m/>
    <m/>
    <n v="164"/>
    <n v="-3976.4299999999957"/>
    <s v="TE"/>
    <x v="16"/>
    <x v="13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x v="1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3327445 "/>
    <m/>
    <m/>
    <n v="61.99"/>
    <n v="-3928.4199999999955"/>
    <s v="TE"/>
    <x v="15"/>
    <x v="13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3327446 "/>
    <m/>
    <m/>
    <n v="27.47"/>
    <n v="-3935.8899999999953"/>
    <s v="TE"/>
    <x v="16"/>
    <x v="13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x v="1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x v="1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x v="1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x v="13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x v="13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x v="13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x v="1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1"/>
    <x v="1"/>
    <x v="41"/>
    <n v="777000"/>
    <n v="65"/>
    <x v="4"/>
    <s v="Produits exceptionnel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x v="1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40"/>
    <m/>
    <n v="2199.5300000000043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m/>
    <n v="0.63"/>
    <n v="2358.9000000000042"/>
    <s v="ADM"/>
    <x v="25"/>
    <x v="1"/>
    <x v="25"/>
    <n v="627000"/>
    <n v="-0.63"/>
    <x v="4"/>
    <s v="Frais bancaires"/>
    <x v="1"/>
    <n v="62"/>
    <s v="Autres services extérieurs"/>
  </r>
  <r>
    <x v="0"/>
    <s v="BQ"/>
    <m/>
    <d v="2024-10-05T00:00:00"/>
    <s v="CH 3327447 Rol-Up Brigitte."/>
    <m/>
    <m/>
    <n v="38.880000000000003"/>
    <n v="2320.0200000000041"/>
    <s v="TE"/>
    <x v="28"/>
    <x v="13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37.0200000000041"/>
    <s v="TE"/>
    <x v="36"/>
    <x v="13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37.0200000000041"/>
    <s v="TE"/>
    <x v="24"/>
    <x v="13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577.0200000000041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597.02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897.0200000000041"/>
    <s v="ADM"/>
    <x v="4"/>
    <x v="1"/>
    <x v="4"/>
    <n v="777100"/>
    <n v="300"/>
    <x v="4"/>
    <s v="Dons et autres mises à dispositions gratuites"/>
    <x v="2"/>
    <n v="77"/>
    <s v="Produits exceptionnels"/>
  </r>
  <r>
    <x v="0"/>
    <s v="BQ"/>
    <m/>
    <d v="2024-11-28T00:00:00"/>
    <s v="PRELEVEMENT             Comm de transfert "/>
    <m/>
    <m/>
    <n v="20.25"/>
    <n v="5876.7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000"/>
    <n v="897.02000000000407"/>
    <s v="TE"/>
    <x v="45"/>
    <x v="13"/>
    <x v="46"/>
    <n v="401000"/>
    <n v="-5000"/>
    <x v="4"/>
    <s v="Fournisseurs"/>
    <x v="0"/>
    <n v="40"/>
    <s v="Fournisseurs"/>
  </r>
  <r>
    <x v="0"/>
    <s v="BQ"/>
    <m/>
    <d v="2024-11-28T00:00:00"/>
    <s v="VI EMIS   INITIATIVE CITOYENNE"/>
    <m/>
    <m/>
    <n v="300"/>
    <n v="5576.7700000000041"/>
    <s v="ADM"/>
    <x v="27"/>
    <x v="1"/>
    <x v="27"/>
    <n v="625600"/>
    <n v="-300"/>
    <x v="4"/>
    <s v="Missions et manifestations"/>
    <x v="1"/>
    <n v="62"/>
    <s v="Autres services extérieurs"/>
  </r>
  <r>
    <x v="0"/>
    <s v="BQ"/>
    <m/>
    <d v="2024-12-03T00:00:00"/>
    <s v="VIREMENT YAPLAFR-1367544 4220726                            "/>
    <m/>
    <n v="20"/>
    <m/>
    <n v="5596.77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5911.7700000000041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5891.52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5591.5200000000041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8924.5200000000041"/>
    <s v="TE"/>
    <x v="23"/>
    <x v="13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8904.2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5904.2700000000041"/>
    <s v="TE"/>
    <x v="45"/>
    <x v="13"/>
    <x v="46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6054.2700000000041"/>
    <s v="ADM"/>
    <x v="7"/>
    <x v="1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6027.5100000000039"/>
    <s v="PF"/>
    <x v="2"/>
    <x v="15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607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612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33127.51"/>
    <s v="PF"/>
    <x v="43"/>
    <x v="15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33147.5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33347.51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04-21T00:00:00"/>
    <s v="ajustement dépenses ECOSAN"/>
    <m/>
    <m/>
    <n v="55.4"/>
    <n v="33292.11"/>
    <s v="TE"/>
    <x v="47"/>
    <x v="13"/>
    <x v="48"/>
    <n v="758800"/>
    <n v="-55.4"/>
    <x v="4"/>
    <s v="Fonds propres"/>
    <x v="2"/>
    <n v="75"/>
    <s v="Produits financiers"/>
  </r>
  <r>
    <x v="0"/>
    <s v="BQ"/>
    <m/>
    <d v="2024-04-21T00:00:00"/>
    <s v="ajustement dépenses ECOSAN"/>
    <m/>
    <n v="55.4"/>
    <m/>
    <n v="33347.51"/>
    <s v="ADM"/>
    <x v="47"/>
    <x v="1"/>
    <x v="48"/>
    <n v="758800"/>
    <n v="55.4"/>
    <x v="4"/>
    <s v="Fonds propres"/>
    <x v="2"/>
    <n v="75"/>
    <s v="Produits financiers"/>
  </r>
  <r>
    <x v="0"/>
    <s v="BQ"/>
    <m/>
    <d v="2024-04-21T00:00:00"/>
    <s v="arrondi CCT"/>
    <m/>
    <m/>
    <n v="0.34"/>
    <n v="33347.170000000006"/>
    <s v="TE"/>
    <x v="36"/>
    <x v="13"/>
    <x v="36"/>
    <n v="450000"/>
    <n v="-0.34"/>
    <x v="4"/>
    <s v="Compte courant"/>
    <x v="0"/>
    <n v="45"/>
    <s v="Compte courant"/>
  </r>
  <r>
    <x v="0"/>
    <s v="BQ"/>
    <m/>
    <d v="2024-04-21T00:00:00"/>
    <s v="arrondi CCT"/>
    <m/>
    <n v="0.34"/>
    <m/>
    <n v="33347.51"/>
    <s v="ADM"/>
    <x v="47"/>
    <x v="1"/>
    <x v="48"/>
    <n v="758800"/>
    <n v="0.34"/>
    <x v="4"/>
    <s v="Fonds propres"/>
    <x v="2"/>
    <n v="75"/>
    <s v="Produits financiers"/>
  </r>
  <r>
    <x v="7"/>
    <m/>
    <m/>
    <m/>
    <m/>
    <m/>
    <m/>
    <m/>
    <m/>
    <m/>
    <x v="48"/>
    <x v="16"/>
    <x v="49"/>
    <m/>
    <m/>
    <x v="5"/>
    <m/>
    <x v="3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41">
  <r>
    <x v="0"/>
    <s v="BQ"/>
    <m/>
    <d v="2020-01-01T00:00:00"/>
    <s v="solde ouverture"/>
    <m/>
    <n v="306.08999999999997"/>
    <m/>
    <n v="306.08999999999997"/>
    <s v="ZZ"/>
    <x v="0"/>
    <x v="0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x v="1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x v="1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x v="1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x v="1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x v="1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x v="1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x v="1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x v="1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x v="1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x v="1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x v="1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x v="1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x v="1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x v="1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x v="1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x v="1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x v="1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x v="1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x v="1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x v="2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x v="1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x v="1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x v="1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x v="1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x v="1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x v="1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x v="1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x v="1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x v="1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x v="1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x v="2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x v="3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x v="4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x v="5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x v="6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x v="7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x v="2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x v="1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x v="2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x v="7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x v="2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x v="2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x v="3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x v="4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x v="5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x v="6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x v="1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x v="1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x v="2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x v="1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x v="2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x v="2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x v="1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x v="8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x v="3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x v="3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x v="1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x v="3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x v="4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x v="1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x v="1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x v="3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x v="3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x v="2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x v="2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x v="1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x v="3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x v="1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x v="3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x v="3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x v="3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x v="3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x v="3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x v="3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x v="3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x v="3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x v="6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x v="3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x v="3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x v="2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x v="2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x v="2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x v="2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x v="3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x v="3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x v="1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x v="3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x v="3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x v="2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x v="2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x v="3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x v="3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x v="1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x v="2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x v="1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x v="3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x v="2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x v="4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x v="6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x v="5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x v="3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x v="4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x v="6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x v="5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x v="3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x v="5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x v="4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x v="3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x v="4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x v="1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x v="1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x v="1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x v="3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x v="3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x v="3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x v="2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x v="3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x v="3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x v="1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x v="9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x v="1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x v="1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x v="1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x v="3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x v="3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x v="2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x v="3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x v="3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x v="2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x v="2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x v="9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x v="1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x v="9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x v="9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x v="9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x v="9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x v="9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x v="3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x v="6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x v="9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x v="9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x v="9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x v="9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x v="9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x v="9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x v="9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x v="1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x v="1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x v="1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x v="3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x v="4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x v="6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x v="6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x v="6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x v="2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x v="1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x v="2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x v="1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x v="1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x v="2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x v="6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x v="1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x v="1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x v="1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x v="1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x v="1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x v="1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x v="1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x v="1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x v="1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x v="1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x v="1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x v="2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x v="2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x v="2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x v="2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x v="6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x v="6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x v="6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x v="6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x v="9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x v="9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x v="9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x v="9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x v="9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x v="10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x v="10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x v="10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x v="11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x v="11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x v="11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x v="12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x v="12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x v="12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x v="2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x v="1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x v="1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x v="2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x v="2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x v="1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x v="2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x v="2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x v="1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x v="1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x v="1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x v="1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x v="2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x v="9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x v="9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x v="9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x v="2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x v="2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x v="1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x v="2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x v="2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x v="1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x v="9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x v="9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x v="1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x v="1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x v="9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x v="1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x v="9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x v="9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x v="9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x v="9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x v="9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x v="9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x v="9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x v="9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x v="9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x v="2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x v="2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x v="9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x v="2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x v="1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x v="9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x v="9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x v="9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x v="9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x v="9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x v="9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x v="9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x v="9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x v="9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x v="9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x v="9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x v="9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x v="9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x v="9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x v="9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x v="2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x v="2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x v="9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x v="13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x v="2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x v="2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x v="1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x v="1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x v="2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x v="1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x v="1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x v="1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x v="1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x v="1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x v="1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x v="1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x v="1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x v="1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x v="1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x v="1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x v="2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x v="2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x v="2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x v="2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x v="2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x v="1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x v="1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x v="2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x v="2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x v="1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x v="2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x v="2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x v="1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x v="9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x v="9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x v="9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x v="9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x v="9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x v="9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x v="9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x v="9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x v="9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x v="9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x v="9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x v="9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x v="9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x v="9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x v="9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x v="9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x v="9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x v="9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x v="9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x v="9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x v="9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x v="9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x v="9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x v="9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x v="9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x v="9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x v="9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x v="9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x v="9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x v="9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x v="9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x v="9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x v="13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x v="13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x v="13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x v="13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x v="13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x v="13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x v="13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x v="13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x v="13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x v="13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x v="13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x v="13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x v="13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x v="13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x v="13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x v="13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x v="13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x v="13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x v="13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x v="13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x v="13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x v="2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x v="2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x v="1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x v="1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x v="1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x v="1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x v="13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x v="1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x v="1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x v="1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x v="2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x v="2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x v="1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x v="2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x v="1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x v="1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x v="13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x v="13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x v="13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x v="13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x v="13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x v="13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x v="13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x v="13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x v="13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x v="13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x v="13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x v="13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x v="13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x v="13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x v="13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x v="13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x v="13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x v="13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x v="13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x v="1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x v="1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x v="1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x v="1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x v="13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x v="13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x v="13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x v="1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x v="1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x v="13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x v="13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x v="13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x v="13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x v="13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x v="13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x v="1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x v="1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x v="1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x v="13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x v="1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x v="1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x v="13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x v="1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x v="13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x v="13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x v="1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x v="1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x v="1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x v="13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x v="1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x v="1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x v="13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x v="13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x v="1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x v="13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x v="13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x v="13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x v="13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x v="1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x v="13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x v="1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x v="13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x v="13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x v="1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x v="1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x v="13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x v="1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x v="1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x v="1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x v="1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x v="13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x v="13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x v="13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x v="13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x v="13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x v="13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x v="13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x v="13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x v="13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x v="13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x v="13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x v="13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x v="13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x v="13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x v="13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x v="13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x v="13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x v="13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x v="13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x v="13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x v="13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x v="13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x v="1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x v="1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x v="13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x v="13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x v="13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x v="13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x v="13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x v="13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x v="13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x v="13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x v="1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x v="1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x v="1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x v="1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x v="13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x v="1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x v="1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x v="1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x v="1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x v="1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x v="1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x v="1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x v="1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x v="1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x v="1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x v="1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x v="1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x v="1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x v="1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x v="1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x v="1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x v="14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x v="14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x v="14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x v="14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x v="14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x v="14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x v="14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x v="14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x v="14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x v="14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x v="14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x v="14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x v="14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x v="14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x v="14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x v="14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x v="14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x v="14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x v="14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x v="14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x v="14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x v="14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x v="14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x v="14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x v="14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x v="14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x v="14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x v="14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x v="14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x v="14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x v="14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x v="14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x v="1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x v="1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x v="1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x v="13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x v="1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x v="13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x v="1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x v="1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TE"/>
    <x v="36"/>
    <x v="13"/>
    <x v="3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x v="1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x v="13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x v="13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x v="13"/>
    <x v="46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x v="13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x v="13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x v="13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x v="13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x v="1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TE"/>
    <x v="36"/>
    <x v="13"/>
    <x v="3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x v="1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x v="13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x v="1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x v="13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x v="1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"/>
    <m/>
    <n v="20"/>
    <m/>
    <n v="5697.53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Comm de transfert "/>
    <m/>
    <m/>
    <n v="20.25"/>
    <n v="5677.2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4-04T00:00:00"/>
    <s v="VH2402007679 INITIATIVE CITOYENNE "/>
    <m/>
    <m/>
    <n v="300"/>
    <n v="5377.28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x v="1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x v="13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x v="1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x v="1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x v="1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x v="1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x v="1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x v="1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x v="1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x v="1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x v="1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x v="1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x v="1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x v="1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x v="1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x v="1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x v="1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x v="1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x v="1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x v="1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x v="1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x v="1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x v="1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x v="1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x v="1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x v="1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x v="1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x v="1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x v="1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x v="1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x v="1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x v="1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x v="1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x v="1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x v="1"/>
    <x v="47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x v="1"/>
    <x v="47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x v="1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x v="1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x v="13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x v="13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x v="13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x v="13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x v="13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x v="13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x v="13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x v="13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x v="13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x v="14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x v="14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x v="14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x v="14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x v="14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x v="14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x v="14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x v="14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x v="14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x v="14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x v="14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x v="14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x v="14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x v="14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x v="14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x v="14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x v="14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x v="14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x v="14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x v="14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x v="14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x v="14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x v="14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x v="14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x v="14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x v="14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x v="14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x v="14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x v="14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x v="13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x v="13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x v="13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x v="13"/>
    <x v="48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x v="1"/>
    <x v="48"/>
    <n v="758800"/>
    <n v="-5500"/>
    <x v="4"/>
    <s v="Fonds propres"/>
    <x v="2"/>
    <n v="75"/>
    <s v="Produits financiers"/>
  </r>
  <r>
    <x v="0"/>
    <s v="BQ"/>
    <m/>
    <d v="2024-04-23T00:00:00"/>
    <s v="CHEQUE EMIS             3327444 "/>
    <m/>
    <m/>
    <n v="164"/>
    <n v="-3976.4299999999957"/>
    <s v="TE"/>
    <x v="16"/>
    <x v="13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x v="1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3327445 "/>
    <m/>
    <m/>
    <n v="61.99"/>
    <n v="-3928.4199999999955"/>
    <s v="TE"/>
    <x v="15"/>
    <x v="13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3327446 "/>
    <m/>
    <m/>
    <n v="27.47"/>
    <n v="-3935.8899999999953"/>
    <s v="TE"/>
    <x v="16"/>
    <x v="13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x v="1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x v="1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x v="1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x v="1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x v="13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x v="13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x v="13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x v="1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x v="1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1"/>
    <x v="1"/>
    <x v="41"/>
    <n v="777000"/>
    <n v="65"/>
    <x v="4"/>
    <s v="Produits exceptionnel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x v="1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40"/>
    <m/>
    <n v="2199.5300000000043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m/>
    <n v="0.63"/>
    <n v="2358.9000000000042"/>
    <s v="ADM"/>
    <x v="25"/>
    <x v="1"/>
    <x v="25"/>
    <n v="627000"/>
    <n v="-0.63"/>
    <x v="4"/>
    <s v="Frais bancaires"/>
    <x v="1"/>
    <n v="62"/>
    <s v="Autres services extérieurs"/>
  </r>
  <r>
    <x v="0"/>
    <s v="BQ"/>
    <m/>
    <d v="2024-10-05T00:00:00"/>
    <s v="CH 3327447 Rol-Up Brigitte."/>
    <m/>
    <m/>
    <n v="38.880000000000003"/>
    <n v="2320.0200000000041"/>
    <s v="TE"/>
    <x v="28"/>
    <x v="13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37.0200000000041"/>
    <s v="TE"/>
    <x v="36"/>
    <x v="13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37.0200000000041"/>
    <s v="TE"/>
    <x v="24"/>
    <x v="13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577.0200000000041"/>
    <s v="ADM"/>
    <x v="7"/>
    <x v="1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597.02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597.0200000000041"/>
    <s v="TE"/>
    <x v="36"/>
    <x v="13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897.0200000000041"/>
    <s v="ADM"/>
    <x v="4"/>
    <x v="1"/>
    <x v="4"/>
    <n v="777100"/>
    <n v="300"/>
    <x v="4"/>
    <s v="Dons et autres mises à dispositions gratuites"/>
    <x v="2"/>
    <n v="77"/>
    <s v="Produits exceptionnels"/>
  </r>
  <r>
    <x v="0"/>
    <s v="BQ"/>
    <m/>
    <d v="2024-11-28T00:00:00"/>
    <s v="PRELEVEMENT             Comm de transfert "/>
    <m/>
    <m/>
    <n v="20.25"/>
    <n v="5876.7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000"/>
    <n v="897.02000000000407"/>
    <s v="TE"/>
    <x v="45"/>
    <x v="13"/>
    <x v="46"/>
    <n v="401000"/>
    <n v="-5000"/>
    <x v="4"/>
    <s v="Fournisseurs"/>
    <x v="0"/>
    <n v="40"/>
    <s v="Fournisseurs"/>
  </r>
  <r>
    <x v="0"/>
    <s v="BQ"/>
    <m/>
    <d v="2024-11-28T00:00:00"/>
    <s v="VI EMIS   INITIATIVE CITOYENNE"/>
    <m/>
    <m/>
    <n v="300"/>
    <n v="5576.7700000000041"/>
    <s v="ADM"/>
    <x v="27"/>
    <x v="1"/>
    <x v="27"/>
    <n v="625600"/>
    <n v="-300"/>
    <x v="4"/>
    <s v="Missions et manifestations"/>
    <x v="1"/>
    <n v="62"/>
    <s v="Autres services extérieurs"/>
  </r>
  <r>
    <x v="0"/>
    <s v="BQ"/>
    <m/>
    <d v="2024-12-03T00:00:00"/>
    <s v="VIREMENT YAPLAFR-1367544 4220726                            "/>
    <m/>
    <n v="20"/>
    <m/>
    <n v="5596.770000000004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5911.7700000000041"/>
    <s v="ADM"/>
    <x v="4"/>
    <x v="1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5891.52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5591.5200000000041"/>
    <s v="ADM"/>
    <x v="18"/>
    <x v="1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8924.5200000000041"/>
    <s v="TE"/>
    <x v="23"/>
    <x v="13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8904.2700000000041"/>
    <s v="TE"/>
    <x v="25"/>
    <x v="13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5904.2700000000041"/>
    <s v="TE"/>
    <x v="45"/>
    <x v="13"/>
    <x v="46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6054.2700000000041"/>
    <s v="ADM"/>
    <x v="7"/>
    <x v="1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6027.5100000000039"/>
    <s v="PF"/>
    <x v="2"/>
    <x v="15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607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6127.5100000000039"/>
    <s v="ADM"/>
    <x v="7"/>
    <x v="1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33127.51"/>
    <s v="PF"/>
    <x v="43"/>
    <x v="15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33147.51"/>
    <s v="ADM"/>
    <x v="7"/>
    <x v="1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33347.51"/>
    <s v="ADM"/>
    <x v="7"/>
    <x v="1"/>
    <x v="7"/>
    <n v="758100"/>
    <n v="200"/>
    <x v="4"/>
    <s v="Cotisations individuelles et associatives"/>
    <x v="2"/>
    <n v="75"/>
    <s v="Autres produits de gestion courante"/>
  </r>
  <r>
    <x v="0"/>
    <s v="BQ"/>
    <m/>
    <d v="2024-04-21T00:00:00"/>
    <s v="ajustement dépenses ECOSAN"/>
    <m/>
    <m/>
    <n v="55.4"/>
    <n v="33292.11"/>
    <s v="TE"/>
    <x v="47"/>
    <x v="13"/>
    <x v="48"/>
    <n v="758800"/>
    <n v="-55.4"/>
    <x v="4"/>
    <s v="Fonds propres"/>
    <x v="2"/>
    <n v="75"/>
    <s v="Produits financiers"/>
  </r>
  <r>
    <x v="0"/>
    <s v="BQ"/>
    <m/>
    <d v="2024-04-21T00:00:00"/>
    <s v="ajustement dépenses ECOSAN"/>
    <m/>
    <n v="55.4"/>
    <m/>
    <n v="33347.51"/>
    <s v="ADM"/>
    <x v="47"/>
    <x v="1"/>
    <x v="48"/>
    <n v="758800"/>
    <n v="55.4"/>
    <x v="4"/>
    <s v="Fonds propres"/>
    <x v="2"/>
    <n v="75"/>
    <s v="Produits financiers"/>
  </r>
  <r>
    <x v="0"/>
    <s v="BQ"/>
    <m/>
    <d v="2024-04-21T00:00:00"/>
    <s v="arrondi CCT"/>
    <m/>
    <m/>
    <n v="0.34"/>
    <n v="33347.170000000006"/>
    <s v="TE"/>
    <x v="36"/>
    <x v="13"/>
    <x v="36"/>
    <n v="450000"/>
    <n v="-0.34"/>
    <x v="4"/>
    <s v="Compte courant"/>
    <x v="0"/>
    <n v="45"/>
    <s v="Compte courant"/>
  </r>
  <r>
    <x v="0"/>
    <s v="BQ"/>
    <m/>
    <d v="2024-04-21T00:00:00"/>
    <s v="arrondi CCT"/>
    <m/>
    <n v="0.34"/>
    <m/>
    <n v="33347.51"/>
    <s v="ADM"/>
    <x v="47"/>
    <x v="1"/>
    <x v="48"/>
    <n v="758800"/>
    <n v="0.34"/>
    <x v="4"/>
    <s v="Fonds propres"/>
    <x v="2"/>
    <n v="75"/>
    <s v="Produits financiers"/>
  </r>
  <r>
    <x v="7"/>
    <s v="BQ"/>
    <m/>
    <d v="2025-06-30T00:00:00"/>
    <s v="Subvention Fraternité"/>
    <m/>
    <n v="912.5"/>
    <m/>
    <n v="-31399.002"/>
    <s v="PF"/>
    <x v="34"/>
    <x v="15"/>
    <x v="34"/>
    <n v="748000"/>
    <n v="912.5"/>
    <x v="5"/>
    <s v="Mairie de Teuillac"/>
    <x v="2"/>
    <n v="74"/>
    <s v="Subventions d'exploitation"/>
  </r>
  <r>
    <x v="7"/>
    <s v="BQ"/>
    <m/>
    <d v="2025-01-01T00:00:00"/>
    <s v="solde ouverture"/>
    <m/>
    <n v="15"/>
    <m/>
    <n v="15"/>
    <s v="ADM"/>
    <x v="0"/>
    <x v="1"/>
    <x v="0"/>
    <n v="512000"/>
    <n v="15"/>
    <x v="5"/>
    <s v="Banque"/>
    <x v="0"/>
    <n v="50"/>
    <s v="Trésorerie"/>
  </r>
  <r>
    <x v="7"/>
    <s v="BQ"/>
    <m/>
    <d v="2025-01-01T00:00:00"/>
    <s v="solde ouverture"/>
    <m/>
    <n v="2644.16"/>
    <m/>
    <n v="4389.6440000000002"/>
    <s v="ADM"/>
    <x v="0"/>
    <x v="1"/>
    <x v="0"/>
    <n v="512000"/>
    <n v="2644.16"/>
    <x v="5"/>
    <s v="Banque"/>
    <x v="0"/>
    <n v="50"/>
    <s v="Trésorerie"/>
  </r>
  <r>
    <x v="7"/>
    <s v="BQ"/>
    <m/>
    <d v="2025-01-01T00:00:00"/>
    <s v="solde ouverture"/>
    <m/>
    <n v="-1244.8900000000001"/>
    <m/>
    <n v="4389.6440000000002"/>
    <s v="TE"/>
    <x v="0"/>
    <x v="13"/>
    <x v="0"/>
    <n v="512000"/>
    <n v="-1244.8900000000001"/>
    <x v="5"/>
    <s v="Banque"/>
    <x v="0"/>
    <n v="50"/>
    <s v="Trésorerie"/>
  </r>
  <r>
    <x v="7"/>
    <s v="BQ"/>
    <m/>
    <d v="2025-03-01T00:00:00"/>
    <s v="tréso TE"/>
    <m/>
    <n v="16344"/>
    <m/>
    <m/>
    <s v="TE"/>
    <x v="0"/>
    <x v="13"/>
    <x v="0"/>
    <n v="512000"/>
    <n v="16344"/>
    <x v="5"/>
    <s v="Banque"/>
    <x v="0"/>
    <n v="50"/>
    <s v="Trésorerie"/>
  </r>
  <r>
    <x v="7"/>
    <s v="BQ"/>
    <m/>
    <d v="2025-03-01T00:00:00"/>
    <s v="tréso TE"/>
    <m/>
    <m/>
    <m/>
    <m/>
    <s v="TE"/>
    <x v="40"/>
    <x v="13"/>
    <x v="40"/>
    <n v="743000"/>
    <n v="0"/>
    <x v="5"/>
    <s v="subvention Agence Adour Garonne"/>
    <x v="2"/>
    <n v="74"/>
    <s v="Subventions d'exploitation"/>
  </r>
  <r>
    <x v="7"/>
    <s v="BQ"/>
    <m/>
    <d v="2025-03-01T00:00:00"/>
    <s v="tréso TE"/>
    <m/>
    <m/>
    <n v="5082"/>
    <m/>
    <s v="TE"/>
    <x v="45"/>
    <x v="13"/>
    <x v="46"/>
    <n v="401000"/>
    <n v="-5082"/>
    <x v="5"/>
    <s v="Fournisseurs"/>
    <x v="0"/>
    <n v="40"/>
    <s v="Fournisseurs"/>
  </r>
  <r>
    <x v="7"/>
    <s v="BQ"/>
    <m/>
    <d v="2025-03-01T00:00:00"/>
    <s v="tréso TE"/>
    <m/>
    <m/>
    <n v="6847.72"/>
    <m/>
    <s v="TE"/>
    <x v="36"/>
    <x v="13"/>
    <x v="36"/>
    <n v="450000"/>
    <n v="-6847.72"/>
    <x v="5"/>
    <s v="Compte courant"/>
    <x v="0"/>
    <n v="45"/>
    <s v="Compte courant"/>
  </r>
  <r>
    <x v="8"/>
    <m/>
    <m/>
    <d v="2025-03-01T00:00:00"/>
    <s v="tréso TE"/>
    <m/>
    <m/>
    <n v="3169.39"/>
    <m/>
    <s v="TE"/>
    <x v="36"/>
    <x v="13"/>
    <x v="36"/>
    <n v="450000"/>
    <n v="-3169.39"/>
    <x v="5"/>
    <s v="Compte courant"/>
    <x v="0"/>
    <n v="45"/>
    <s v="Compte courant"/>
  </r>
  <r>
    <x v="7"/>
    <s v="BQ"/>
    <m/>
    <d v="2025-01-01T00:00:00"/>
    <s v="solde ouverture"/>
    <m/>
    <n v="26973.24"/>
    <m/>
    <n v="4389.6440000000002"/>
    <s v="PF"/>
    <x v="0"/>
    <x v="15"/>
    <x v="0"/>
    <n v="512000"/>
    <n v="26973.24"/>
    <x v="5"/>
    <s v="Banque"/>
    <x v="0"/>
    <n v="50"/>
    <s v="Trésorerie"/>
  </r>
  <r>
    <x v="7"/>
    <s v="BQ"/>
    <m/>
    <d v="2025-01-05T00:00:00"/>
    <s v="CHEQUE EMIS MAIF"/>
    <m/>
    <m/>
    <n v="116.1"/>
    <n v="4273.5439999999999"/>
    <s v="ADM"/>
    <x v="5"/>
    <x v="1"/>
    <x v="5"/>
    <n v="616000"/>
    <n v="-116.1"/>
    <x v="5"/>
    <s v="Primes d'assurance"/>
    <x v="1"/>
    <n v="61"/>
    <s v="Services extérieurs"/>
  </r>
  <r>
    <x v="7"/>
    <s v="BQ"/>
    <m/>
    <d v="2025-02-09T00:00:00"/>
    <s v="REMISE DE CHEQUE  maillebiau"/>
    <m/>
    <n v="2045"/>
    <m/>
    <n v="6318.5439999999999"/>
    <s v="ADM"/>
    <x v="4"/>
    <x v="1"/>
    <x v="4"/>
    <n v="777100"/>
    <n v="2045"/>
    <x v="5"/>
    <s v="Dons et autres mises à dispositions gratuites"/>
    <x v="2"/>
    <n v="77"/>
    <s v="Produits exceptionnels"/>
  </r>
  <r>
    <x v="7"/>
    <s v="BQ"/>
    <m/>
    <d v="2025-03-23T00:00:00"/>
    <s v="CHEQUE EMIS  Com-Inter  déc-mars         "/>
    <m/>
    <m/>
    <n v="255.96"/>
    <n v="6062.5839999999998"/>
    <s v="ADM"/>
    <x v="15"/>
    <x v="1"/>
    <x v="15"/>
    <n v="623000"/>
    <n v="-255.96"/>
    <x v="5"/>
    <s v="Publicité, publications, Création de site web"/>
    <x v="1"/>
    <n v="62"/>
    <s v="Autres services extérieurs"/>
  </r>
  <r>
    <x v="7"/>
    <s v="BQ"/>
    <m/>
    <d v="2025-04-03T00:00:00"/>
    <s v="Cotisation béatrice FRINGUET yapla"/>
    <m/>
    <n v="350"/>
    <m/>
    <n v="6412.5839999999998"/>
    <s v="ADM"/>
    <x v="7"/>
    <x v="1"/>
    <x v="7"/>
    <n v="758100"/>
    <n v="350"/>
    <x v="5"/>
    <s v="Cotisations individuelles et associatives"/>
    <x v="2"/>
    <n v="75"/>
    <s v="Autres produits de gestion courante"/>
  </r>
  <r>
    <x v="7"/>
    <s v="BQ"/>
    <m/>
    <d v="2025-04-03T00:00:00"/>
    <s v="Cotisation PONS yapla"/>
    <m/>
    <n v="50"/>
    <m/>
    <n v="6462.5839999999998"/>
    <s v="ADM"/>
    <x v="7"/>
    <x v="1"/>
    <x v="7"/>
    <n v="758100"/>
    <n v="50"/>
    <x v="5"/>
    <s v="Cotisations individuelles et associatives"/>
    <x v="2"/>
    <n v="75"/>
    <s v="Autres produits de gestion courante"/>
  </r>
  <r>
    <x v="7"/>
    <s v="BQ"/>
    <m/>
    <d v="2025-04-13T00:00:00"/>
    <s v="REMISE DE CHEQUE Don MAILLEBIAU Monique     "/>
    <m/>
    <n v="50"/>
    <m/>
    <n v="6512.5839999999998"/>
    <s v="ADM"/>
    <x v="4"/>
    <x v="1"/>
    <x v="4"/>
    <n v="777100"/>
    <n v="50"/>
    <x v="5"/>
    <s v="Dons et autres mises à dispositions gratuites"/>
    <x v="2"/>
    <n v="77"/>
    <s v="Produits exceptionnels"/>
  </r>
  <r>
    <x v="7"/>
    <s v="BQ"/>
    <m/>
    <d v="2025-04-19T00:00:00"/>
    <s v="VIR JPLAFON YAPLA "/>
    <m/>
    <n v="300"/>
    <m/>
    <n v="6812.5839999999998"/>
    <s v="ADM"/>
    <x v="7"/>
    <x v="1"/>
    <x v="7"/>
    <n v="758100"/>
    <n v="300"/>
    <x v="5"/>
    <s v="Cotisations individuelles et associatives"/>
    <x v="2"/>
    <n v="75"/>
    <s v="Autres produits de gestion courante"/>
  </r>
  <r>
    <x v="7"/>
    <s v="BQ"/>
    <m/>
    <d v="2025-05-09T00:00:00"/>
    <s v="CHEQUE EMIS  com avril   "/>
    <m/>
    <m/>
    <n v="63.99"/>
    <n v="6748.5940000000001"/>
    <s v="ADM"/>
    <x v="15"/>
    <x v="1"/>
    <x v="15"/>
    <n v="623000"/>
    <n v="-63.99"/>
    <x v="5"/>
    <s v="Publicité, publications, Création de site web"/>
    <x v="1"/>
    <n v="62"/>
    <s v="Autres services extérieurs"/>
  </r>
  <r>
    <x v="7"/>
    <s v="BQ"/>
    <m/>
    <d v="2025-05-16T00:00:00"/>
    <s v="CHEQUE EMIS    Adhésion SOCOOP 2023       "/>
    <m/>
    <m/>
    <n v="50"/>
    <n v="6698.5940000000001"/>
    <s v="ADM"/>
    <x v="1"/>
    <x v="1"/>
    <x v="1"/>
    <n v="628100"/>
    <n v="-50"/>
    <x v="5"/>
    <s v="adhesion Hellasso"/>
    <x v="1"/>
    <n v="62"/>
    <s v="Autres services extérieurs"/>
  </r>
  <r>
    <x v="7"/>
    <s v="BQ"/>
    <m/>
    <d v="2025-05-16T00:00:00"/>
    <s v="INTERETS CREDITEURS "/>
    <m/>
    <n v="0.34"/>
    <m/>
    <n v="6698.9340000000002"/>
    <s v="ADM"/>
    <x v="42"/>
    <x v="1"/>
    <x v="42"/>
    <n v="766000"/>
    <n v="0.34"/>
    <x v="5"/>
    <s v="Produits financiers"/>
    <x v="2"/>
    <n v="76"/>
    <s v="Produits exceptionnels"/>
  </r>
  <r>
    <x v="7"/>
    <s v="BQ"/>
    <m/>
    <d v="2025-05-31T00:00:00"/>
    <s v="CHEQUE EMIS Com Mai     "/>
    <m/>
    <m/>
    <n v="65.989999999999995"/>
    <n v="6632.9440000000004"/>
    <s v="ADM"/>
    <x v="15"/>
    <x v="1"/>
    <x v="15"/>
    <n v="623000"/>
    <n v="-65.989999999999995"/>
    <x v="5"/>
    <s v="Publicité, publications, Création de site web"/>
    <x v="1"/>
    <n v="62"/>
    <s v="Autres services extérieurs"/>
  </r>
  <r>
    <x v="7"/>
    <s v="BQ"/>
    <m/>
    <d v="2025-06-05T00:00:00"/>
    <s v="CHEQUE EMIS Achat Encre et rame"/>
    <m/>
    <m/>
    <n v="73.09"/>
    <n v="6559.8540000000003"/>
    <s v="ADM"/>
    <x v="6"/>
    <x v="1"/>
    <x v="6"/>
    <n v="606400"/>
    <n v="-73.09"/>
    <x v="5"/>
    <s v="Fournitures administratives"/>
    <x v="1"/>
    <n v="60"/>
    <s v="Achat"/>
  </r>
  <r>
    <x v="7"/>
    <s v="BQ"/>
    <m/>
    <d v="2025-06-13T00:00:00"/>
    <s v="Adhésion BOUYER"/>
    <m/>
    <n v="100"/>
    <m/>
    <n v="6659.8540000000003"/>
    <s v="ADM"/>
    <x v="7"/>
    <x v="1"/>
    <x v="7"/>
    <n v="758100"/>
    <n v="100"/>
    <x v="5"/>
    <s v="Cotisations individuelles et associatives"/>
    <x v="2"/>
    <n v="75"/>
    <s v="Autres produits de gestion courante"/>
  </r>
  <r>
    <x v="7"/>
    <s v="BQ"/>
    <m/>
    <d v="2025-06-16T00:00:00"/>
    <s v="Adhésion Evelyne LAFON/ Yapla"/>
    <m/>
    <n v="30"/>
    <m/>
    <n v="6689.8540000000003"/>
    <s v="ADM"/>
    <x v="7"/>
    <x v="1"/>
    <x v="7"/>
    <n v="758100"/>
    <n v="30"/>
    <x v="5"/>
    <s v="Cotisations individuelles et associatives"/>
    <x v="2"/>
    <n v="75"/>
    <s v="Autres produits de gestion courante"/>
  </r>
  <r>
    <x v="7"/>
    <s v="BQ"/>
    <m/>
    <d v="2025-06-16T00:00:00"/>
    <s v="Adhésion brigite BOHUON yapla"/>
    <m/>
    <n v="10"/>
    <m/>
    <n v="6699.8540000000003"/>
    <s v="ADM"/>
    <x v="7"/>
    <x v="1"/>
    <x v="7"/>
    <n v="758100"/>
    <n v="10"/>
    <x v="5"/>
    <s v="Cotisations individuelles et associatives"/>
    <x v="2"/>
    <n v="75"/>
    <s v="Autres produits de gestion courante"/>
  </r>
  <r>
    <x v="7"/>
    <s v="BQ"/>
    <m/>
    <d v="2025-07-03T00:00:00"/>
    <s v="Jean Jacques COMBAREL"/>
    <m/>
    <n v="20"/>
    <m/>
    <n v="6719.8540000000003"/>
    <s v="ADM"/>
    <x v="7"/>
    <x v="1"/>
    <x v="7"/>
    <n v="758100"/>
    <n v="20"/>
    <x v="5"/>
    <s v="Cotisations individuelles et associatives"/>
    <x v="2"/>
    <n v="75"/>
    <s v="Autres produits de gestion courante"/>
  </r>
  <r>
    <x v="7"/>
    <s v="BQ"/>
    <m/>
    <d v="2025-07-07T00:00:00"/>
    <s v="CHEQUE EMIS  Timbre chèq   "/>
    <m/>
    <m/>
    <n v="13.92"/>
    <n v="6705.9340000000002"/>
    <s v="ADM"/>
    <x v="2"/>
    <x v="1"/>
    <x v="2"/>
    <n v="626100"/>
    <n v="-13.92"/>
    <x v="5"/>
    <s v="Frais postaux"/>
    <x v="1"/>
    <n v="62"/>
    <s v="Autres services extérieurs"/>
  </r>
  <r>
    <x v="7"/>
    <s v="BQ"/>
    <m/>
    <d v="2025-07-07T00:00:00"/>
    <s v="CHEQUE EMIS  Com juin "/>
    <m/>
    <m/>
    <n v="70.41"/>
    <n v="6635.5240000000003"/>
    <s v="ADM"/>
    <x v="15"/>
    <x v="1"/>
    <x v="15"/>
    <n v="623000"/>
    <n v="-70.41"/>
    <x v="5"/>
    <s v="Publicité, publications, Création de site web"/>
    <x v="1"/>
    <n v="62"/>
    <s v="Autres services extérieurs"/>
  </r>
  <r>
    <x v="7"/>
    <s v="BQ"/>
    <m/>
    <d v="2025-07-07T00:00:00"/>
    <s v="Adhésion SAVIGNOL"/>
    <m/>
    <n v="100"/>
    <m/>
    <n v="6735.5240000000003"/>
    <s v="ADM"/>
    <x v="7"/>
    <x v="1"/>
    <x v="7"/>
    <n v="758100"/>
    <n v="100"/>
    <x v="5"/>
    <s v="Cotisations individuelles et associatives"/>
    <x v="2"/>
    <n v="75"/>
    <s v="Autres produits de gestion courante"/>
  </r>
  <r>
    <x v="7"/>
    <s v="BQ"/>
    <m/>
    <d v="2025-07-07T00:00:00"/>
    <s v="DON CYGNE DE VIE, 37866220"/>
    <m/>
    <n v="1200"/>
    <m/>
    <n v="7935.5240000000003"/>
    <s v="ADM"/>
    <x v="4"/>
    <x v="1"/>
    <x v="4"/>
    <n v="777100"/>
    <n v="1200"/>
    <x v="5"/>
    <s v="Dons et autres mises à dispositions gratuites"/>
    <x v="2"/>
    <n v="77"/>
    <s v="Produits exceptionnels"/>
  </r>
  <r>
    <x v="7"/>
    <s v="BQ"/>
    <m/>
    <d v="2025-07-17T00:00:00"/>
    <s v="VIR LEMONWAY MEMBOGO-507792 YAPLA "/>
    <m/>
    <n v="50"/>
    <m/>
    <n v="7985.5240000000003"/>
    <s v="ADM"/>
    <x v="7"/>
    <x v="1"/>
    <x v="7"/>
    <n v="758100"/>
    <n v="50"/>
    <x v="5"/>
    <s v="Cotisations individuelles et associatives"/>
    <x v="2"/>
    <n v="75"/>
    <s v="Autres produits de gestion courante"/>
  </r>
  <r>
    <x v="7"/>
    <s v="BQ"/>
    <m/>
    <d v="2025-08-01T00:00:00"/>
    <s v="VIR LEMONWAY MEMBOGO-534776 YAPLA "/>
    <m/>
    <n v="30"/>
    <m/>
    <n v="8015.5240000000003"/>
    <s v="ADM"/>
    <x v="7"/>
    <x v="1"/>
    <x v="7"/>
    <n v="758100"/>
    <n v="30"/>
    <x v="5"/>
    <s v="Cotisations individuelles et associatives"/>
    <x v="2"/>
    <n v="75"/>
    <s v="Autres produits de gestion courante"/>
  </r>
  <r>
    <x v="7"/>
    <s v="BQ"/>
    <m/>
    <d v="2025-08-30T00:00:00"/>
    <s v="MESPLE Isabelle"/>
    <m/>
    <n v="50"/>
    <m/>
    <n v="8065.5240000000003"/>
    <s v="ADM"/>
    <x v="7"/>
    <x v="1"/>
    <x v="7"/>
    <n v="758100"/>
    <n v="50"/>
    <x v="5"/>
    <s v="Cotisations individuelles et associatives"/>
    <x v="2"/>
    <n v="75"/>
    <s v="Autres produits de gestion courante"/>
  </r>
  <r>
    <x v="7"/>
    <s v="BQ"/>
    <m/>
    <d v="2025-09-02T00:00:00"/>
    <s v="Adhésion Bodjok Namka et BOUTOU Eloi,"/>
    <m/>
    <n v="60"/>
    <m/>
    <n v="8125.5240000000003"/>
    <s v="ADM"/>
    <x v="7"/>
    <x v="1"/>
    <x v="7"/>
    <n v="758100"/>
    <n v="60"/>
    <x v="5"/>
    <s v="Cotisations individuelles et associatives"/>
    <x v="2"/>
    <n v="75"/>
    <s v="Autres produits de gestion courante"/>
  </r>
  <r>
    <x v="7"/>
    <s v="BQ"/>
    <m/>
    <d v="2025-09-07T00:00:00"/>
    <s v="CHEQUE EMIS Com juin juillet-Août             "/>
    <m/>
    <m/>
    <n v="127.71"/>
    <n v="7997.8140000000003"/>
    <s v="ADM"/>
    <x v="15"/>
    <x v="1"/>
    <x v="15"/>
    <n v="623000"/>
    <n v="-127.71"/>
    <x v="5"/>
    <s v="Publicité, publications, Création de site web"/>
    <x v="1"/>
    <n v="62"/>
    <s v="Autres services extérieurs"/>
  </r>
  <r>
    <x v="7"/>
    <s v="BQ"/>
    <m/>
    <d v="2025-09-07T00:00:00"/>
    <s v="CHEQUE EMIS Com juin juillet-Août             "/>
    <m/>
    <n v="467.2"/>
    <m/>
    <n v="8465.014000000001"/>
    <s v="ADM"/>
    <x v="15"/>
    <x v="1"/>
    <x v="15"/>
    <n v="623000"/>
    <n v="467.2"/>
    <x v="5"/>
    <s v="Publicité, publications, Création de site web"/>
    <x v="1"/>
    <n v="62"/>
    <s v="Autres services extérieurs"/>
  </r>
  <r>
    <x v="7"/>
    <s v="BQ"/>
    <m/>
    <d v="2025-10-02T00:00:00"/>
    <s v="Adhésion "/>
    <m/>
    <n v="10"/>
    <m/>
    <n v="8475.014000000001"/>
    <s v="ADM"/>
    <x v="7"/>
    <x v="1"/>
    <x v="7"/>
    <n v="758100"/>
    <n v="10"/>
    <x v="5"/>
    <s v="Cotisations individuelles et associatives"/>
    <x v="2"/>
    <n v="75"/>
    <s v="Autres produits de gestion courante"/>
  </r>
  <r>
    <x v="7"/>
    <s v="BQ"/>
    <m/>
    <d v="2025-10-02T00:00:00"/>
    <s v="Adhésion FLAFON"/>
    <m/>
    <n v="50"/>
    <m/>
    <n v="8525.014000000001"/>
    <s v="ADM"/>
    <x v="7"/>
    <x v="1"/>
    <x v="7"/>
    <n v="758100"/>
    <n v="50"/>
    <x v="5"/>
    <s v="Cotisations individuelles et associatives"/>
    <x v="2"/>
    <n v="75"/>
    <s v="Autres produits de gestion courante"/>
  </r>
  <r>
    <x v="7"/>
    <s v="BQ"/>
    <m/>
    <d v="2025-12-01T00:00:00"/>
    <s v="VIREMENT  YAPLA AURORE            "/>
    <m/>
    <n v="20"/>
    <m/>
    <n v="8545.014000000001"/>
    <s v="ADM"/>
    <x v="7"/>
    <x v="1"/>
    <x v="7"/>
    <n v="758100"/>
    <n v="20"/>
    <x v="5"/>
    <s v="Cotisations individuelles et associatives"/>
    <x v="2"/>
    <n v="75"/>
    <s v="Autres produits de gestion courante"/>
  </r>
  <r>
    <x v="7"/>
    <s v="BQ"/>
    <m/>
    <d v="2025-11-14T00:00:00"/>
    <s v="CHEQUE EMIS 3327435"/>
    <m/>
    <m/>
    <n v="123.98"/>
    <n v="8421.0340000000015"/>
    <s v="ADM"/>
    <x v="15"/>
    <x v="1"/>
    <x v="15"/>
    <n v="623000"/>
    <n v="-123.98"/>
    <x v="5"/>
    <s v="Publicité, publications, Création de site web"/>
    <x v="1"/>
    <n v="62"/>
    <s v="Autres services extérieurs"/>
  </r>
  <r>
    <x v="7"/>
    <s v="BQ"/>
    <m/>
    <d v="2025-11-14T00:00:00"/>
    <s v="AFF COMM ECOSAN"/>
    <m/>
    <n v="99.184000000000012"/>
    <m/>
    <n v="8520.2180000000008"/>
    <s v="ADM"/>
    <x v="15"/>
    <x v="1"/>
    <x v="15"/>
    <n v="623000"/>
    <n v="99.184000000000012"/>
    <x v="5"/>
    <s v="Publicité, publications, Création de site web"/>
    <x v="1"/>
    <n v="62"/>
    <s v="Autres services extérieurs"/>
  </r>
  <r>
    <x v="7"/>
    <s v="BQ"/>
    <m/>
    <d v="2025-11-14T00:00:00"/>
    <s v="REMISE DE CHEQUE 3625686 "/>
    <m/>
    <n v="70"/>
    <m/>
    <n v="8590.2180000000008"/>
    <s v="ADM"/>
    <x v="7"/>
    <x v="1"/>
    <x v="7"/>
    <n v="758100"/>
    <n v="70"/>
    <x v="5"/>
    <s v="Cotisations individuelles et associatives"/>
    <x v="2"/>
    <n v="75"/>
    <s v="Autres produits de gestion courante"/>
  </r>
  <r>
    <x v="7"/>
    <s v="BQ"/>
    <m/>
    <d v="2025-11-07T00:00:00"/>
    <s v="VIREMENT EN VOTRE FAVEUR_x000a_Stripe Technology Europe Ltd HelloAsso Q4V0E8 "/>
    <m/>
    <n v="100"/>
    <m/>
    <n v="8690.2180000000008"/>
    <s v="ADM"/>
    <x v="7"/>
    <x v="1"/>
    <x v="7"/>
    <n v="758100"/>
    <n v="100"/>
    <x v="5"/>
    <s v="Cotisations individuelles et associatives"/>
    <x v="2"/>
    <n v="75"/>
    <s v="Autres produits de gestion courante"/>
  </r>
  <r>
    <x v="7"/>
    <s v="BQ"/>
    <m/>
    <d v="2025-11-03T00:00:00"/>
    <s v="VIREMENT YAPLA  CHRISTELLE_x000a_      "/>
    <m/>
    <n v="100"/>
    <m/>
    <n v="8790.2180000000008"/>
    <s v="ADM"/>
    <x v="7"/>
    <x v="1"/>
    <x v="7"/>
    <n v="758100"/>
    <n v="100"/>
    <x v="5"/>
    <s v="Cotisations individuelles et associatives"/>
    <x v="2"/>
    <n v="75"/>
    <s v="Autres produits de gestion courante"/>
  </r>
  <r>
    <x v="7"/>
    <s v="BQ"/>
    <m/>
    <d v="2025-10-17T00:00:00"/>
    <s v="                           "/>
    <m/>
    <n v="434.78"/>
    <m/>
    <n v="9224.9980000000014"/>
    <s v="ADM"/>
    <x v="4"/>
    <x v="1"/>
    <x v="4"/>
    <n v="777100"/>
    <n v="434.78"/>
    <x v="5"/>
    <s v="Dons et autres mises à dispositions gratuites"/>
    <x v="2"/>
    <n v="77"/>
    <s v="Produits exceptionnels"/>
  </r>
  <r>
    <x v="7"/>
    <s v="BQ"/>
    <m/>
    <d v="2025-03-31T00:00:00"/>
    <s v="CONVENTION ICTDP"/>
    <m/>
    <m/>
    <n v="300"/>
    <n v="8924.9980000000014"/>
    <s v="ADM"/>
    <x v="8"/>
    <x v="1"/>
    <x v="8"/>
    <n v="604000"/>
    <n v="-300"/>
    <x v="5"/>
    <s v="Prestations de services (Hydrogéologue Nokbak)"/>
    <x v="1"/>
    <n v="60"/>
    <s v="Achat"/>
  </r>
  <r>
    <x v="7"/>
    <s v="BQ"/>
    <m/>
    <d v="2025-06-30T00:00:00"/>
    <s v="CONVENTION ICTDP"/>
    <m/>
    <m/>
    <n v="300"/>
    <n v="8624.9980000000014"/>
    <s v="ADM"/>
    <x v="8"/>
    <x v="1"/>
    <x v="8"/>
    <n v="604000"/>
    <n v="-300"/>
    <x v="5"/>
    <s v="Prestations de services (Hydrogéologue Nokbak)"/>
    <x v="1"/>
    <n v="60"/>
    <s v="Achat"/>
  </r>
  <r>
    <x v="7"/>
    <s v="BQ"/>
    <m/>
    <d v="2025-08-31T00:00:00"/>
    <s v="PART DEPLACEMENT SABINE France"/>
    <m/>
    <m/>
    <n v="1500"/>
    <n v="7124.9980000000014"/>
    <s v="ADM"/>
    <x v="27"/>
    <x v="1"/>
    <x v="27"/>
    <n v="625600"/>
    <n v="-1500"/>
    <x v="5"/>
    <s v="Missions et manifestations"/>
    <x v="1"/>
    <n v="62"/>
    <s v="Autres services extérieurs"/>
  </r>
  <r>
    <x v="7"/>
    <s v="BQ"/>
    <m/>
    <d v="2025-08-31T00:00:00"/>
    <s v="DON JPL"/>
    <m/>
    <n v="1500"/>
    <m/>
    <n v="8624.9980000000014"/>
    <s v="ADM"/>
    <x v="4"/>
    <x v="1"/>
    <x v="4"/>
    <n v="777100"/>
    <n v="1500"/>
    <x v="5"/>
    <s v="Dons et autres mises à dispositions gratuites"/>
    <x v="2"/>
    <n v="77"/>
    <s v="Produits exceptionnels"/>
  </r>
  <r>
    <x v="7"/>
    <s v="BQ"/>
    <m/>
    <d v="2025-08-31T00:00:00"/>
    <s v="DON FRATERNITE pour fonds propres"/>
    <m/>
    <n v="912.5"/>
    <m/>
    <n v="8037.4980000000014"/>
    <s v="ADM"/>
    <x v="46"/>
    <x v="1"/>
    <x v="47"/>
    <n v="777200"/>
    <n v="912.5"/>
    <x v="5"/>
    <s v="Autres partenariats"/>
    <x v="2"/>
    <n v="77"/>
    <s v="Emplois des contributions volontaires"/>
  </r>
  <r>
    <x v="7"/>
    <s v="BQ"/>
    <m/>
    <d v="2025-09-30T00:00:00"/>
    <s v="CONVENTION ICTDP"/>
    <m/>
    <m/>
    <n v="300"/>
    <n v="8324.9980000000014"/>
    <s v="ADM"/>
    <x v="8"/>
    <x v="1"/>
    <x v="8"/>
    <n v="604000"/>
    <n v="-300"/>
    <x v="5"/>
    <s v="Prestations de services (Hydrogéologue Nokbak)"/>
    <x v="1"/>
    <n v="60"/>
    <s v="Achat"/>
  </r>
  <r>
    <x v="7"/>
    <s v="BQ"/>
    <m/>
    <d v="2025-12-31T00:00:00"/>
    <s v="CONVENTION ICTDP"/>
    <m/>
    <m/>
    <n v="300"/>
    <n v="8024.9980000000014"/>
    <s v="ADM"/>
    <x v="8"/>
    <x v="1"/>
    <x v="8"/>
    <n v="604000"/>
    <n v="-300"/>
    <x v="5"/>
    <s v="Prestations de services (Hydrogéologue Nokbak)"/>
    <x v="1"/>
    <n v="60"/>
    <s v="Achat"/>
  </r>
  <r>
    <x v="7"/>
    <s v="BQ"/>
    <m/>
    <d v="2025-03-31T00:00:00"/>
    <s v="DON JPL"/>
    <m/>
    <n v="300"/>
    <m/>
    <n v="8324.9980000000014"/>
    <s v="ADM"/>
    <x v="41"/>
    <x v="1"/>
    <x v="41"/>
    <n v="777000"/>
    <n v="300"/>
    <x v="5"/>
    <s v="Produits exceptionnels"/>
    <x v="2"/>
    <n v="77"/>
    <s v="Produits exceptionnels"/>
  </r>
  <r>
    <x v="7"/>
    <s v="BQ"/>
    <m/>
    <d v="2025-06-30T00:00:00"/>
    <s v="DON JPL"/>
    <m/>
    <n v="300"/>
    <m/>
    <n v="8624.9980000000014"/>
    <s v="ADM"/>
    <x v="41"/>
    <x v="1"/>
    <x v="41"/>
    <n v="777000"/>
    <n v="300"/>
    <x v="5"/>
    <s v="Produits exceptionnels"/>
    <x v="2"/>
    <n v="77"/>
    <s v="Produits exceptionnels"/>
  </r>
  <r>
    <x v="7"/>
    <s v="BQ"/>
    <m/>
    <d v="2025-09-30T00:00:00"/>
    <s v="DON JPL"/>
    <m/>
    <n v="300"/>
    <m/>
    <n v="8924.9980000000014"/>
    <s v="ADM"/>
    <x v="41"/>
    <x v="1"/>
    <x v="41"/>
    <n v="777000"/>
    <n v="300"/>
    <x v="5"/>
    <s v="Produits exceptionnels"/>
    <x v="2"/>
    <n v="77"/>
    <s v="Produits exceptionnels"/>
  </r>
  <r>
    <x v="7"/>
    <s v="BQ"/>
    <m/>
    <d v="2025-12-31T00:00:00"/>
    <s v="DON JPL"/>
    <m/>
    <n v="300"/>
    <m/>
    <n v="9224.9980000000014"/>
    <s v="ADM"/>
    <x v="41"/>
    <x v="1"/>
    <x v="41"/>
    <n v="777000"/>
    <n v="300"/>
    <x v="5"/>
    <s v="Produits exceptionnels"/>
    <x v="2"/>
    <n v="77"/>
    <s v="Produits exceptionnels"/>
  </r>
  <r>
    <x v="7"/>
    <s v="BQ"/>
    <m/>
    <d v="2025-12-31T00:00:00"/>
    <s v="Étude et Prospection hydrogéologique et  géographique 2 forages"/>
    <m/>
    <m/>
    <n v="525"/>
    <n v="-525"/>
    <s v="PF"/>
    <x v="18"/>
    <x v="15"/>
    <x v="18"/>
    <n v="611000"/>
    <n v="-525"/>
    <x v="5"/>
    <s v="Sous-traitance générale "/>
    <x v="1"/>
    <n v="61"/>
    <s v="Services extérieurs"/>
  </r>
  <r>
    <x v="7"/>
    <s v="BQ"/>
    <m/>
    <d v="2025-12-31T00:00:00"/>
    <s v="Frais de rédaction de projet et suivi comptable"/>
    <m/>
    <m/>
    <n v="875"/>
    <n v="-1400"/>
    <s v="PF"/>
    <x v="18"/>
    <x v="15"/>
    <x v="18"/>
    <n v="611000"/>
    <n v="-875"/>
    <x v="5"/>
    <s v="Sous-traitance générale "/>
    <x v="1"/>
    <n v="61"/>
    <s v="Services extérieurs"/>
  </r>
  <r>
    <x v="7"/>
    <s v="BQ"/>
    <m/>
    <d v="2025-12-31T00:00:00"/>
    <s v="indemnité de suivi et gestion du projet dans le pays local concerné"/>
    <m/>
    <m/>
    <n v="500"/>
    <n v="-1900"/>
    <s v="PF"/>
    <x v="18"/>
    <x v="15"/>
    <x v="18"/>
    <n v="611000"/>
    <n v="-500"/>
    <x v="5"/>
    <s v="Sous-traitance générale "/>
    <x v="1"/>
    <n v="61"/>
    <s v="Services extérieurs"/>
  </r>
  <r>
    <x v="7"/>
    <s v="BQ"/>
    <m/>
    <d v="2025-12-31T00:00:00"/>
    <s v="Déplacements (billet d'avion, location de voiture dans le pays)"/>
    <m/>
    <m/>
    <n v="848.24"/>
    <n v="-2775"/>
    <s v="PF"/>
    <x v="16"/>
    <x v="15"/>
    <x v="16"/>
    <n v="625000"/>
    <n v="-848.24"/>
    <x v="5"/>
    <s v="Déplacements, missions et réceptions"/>
    <x v="1"/>
    <n v="62"/>
    <s v="Autres services extérieurs"/>
  </r>
  <r>
    <x v="7"/>
    <s v="BQ"/>
    <m/>
    <d v="2025-12-31T00:00:00"/>
    <s v="Hébergement"/>
    <m/>
    <m/>
    <n v="250"/>
    <n v="-3025"/>
    <s v="PF"/>
    <x v="16"/>
    <x v="15"/>
    <x v="16"/>
    <n v="625000"/>
    <n v="-250"/>
    <x v="5"/>
    <s v="Déplacements, missions et réceptions"/>
    <x v="1"/>
    <n v="62"/>
    <s v="Autres services extérieurs"/>
  </r>
  <r>
    <x v="7"/>
    <s v="BQ"/>
    <m/>
    <d v="2025-12-31T00:00:00"/>
    <s v="Restauration"/>
    <m/>
    <m/>
    <n v="250"/>
    <n v="-3275"/>
    <s v="PF"/>
    <x v="16"/>
    <x v="15"/>
    <x v="16"/>
    <n v="625000"/>
    <n v="-250"/>
    <x v="5"/>
    <s v="Déplacements, missions et réceptions"/>
    <x v="1"/>
    <n v="62"/>
    <s v="Autres services extérieurs"/>
  </r>
  <r>
    <x v="7"/>
    <s v="BQ"/>
    <m/>
    <d v="2025-12-31T00:00:00"/>
    <s v="Préparation, amenée, installation générale et foration"/>
    <m/>
    <m/>
    <n v="8932.25"/>
    <n v="-12207.25"/>
    <s v="PF"/>
    <x v="18"/>
    <x v="15"/>
    <x v="18"/>
    <n v="611000"/>
    <n v="-8932.25"/>
    <x v="5"/>
    <s v="Sous-traitance générale "/>
    <x v="1"/>
    <n v="61"/>
    <s v="Services extérieurs"/>
  </r>
  <r>
    <x v="7"/>
    <s v="BQ"/>
    <m/>
    <d v="2025-12-31T00:00:00"/>
    <s v="Fournitures et panneaux solaires"/>
    <m/>
    <m/>
    <n v="3795.5"/>
    <n v="-16002.75"/>
    <s v="PF"/>
    <x v="18"/>
    <x v="15"/>
    <x v="18"/>
    <n v="611000"/>
    <n v="-3795.5"/>
    <x v="5"/>
    <s v="Sous-traitance générale "/>
    <x v="1"/>
    <n v="61"/>
    <s v="Services extérieurs"/>
  </r>
  <r>
    <x v="7"/>
    <s v="BQ"/>
    <m/>
    <d v="2025-12-31T00:00:00"/>
    <s v="Plomberie, construction de bornes fontaines de 2*6 robinets"/>
    <m/>
    <m/>
    <n v="1628.5"/>
    <n v="-17631.25"/>
    <s v="PF"/>
    <x v="18"/>
    <x v="15"/>
    <x v="18"/>
    <n v="611000"/>
    <n v="-1628.5"/>
    <x v="5"/>
    <s v="Sous-traitance générale "/>
    <x v="1"/>
    <n v="61"/>
    <s v="Services extérieurs"/>
  </r>
  <r>
    <x v="7"/>
    <s v="BQ"/>
    <m/>
    <d v="2025-12-31T00:00:00"/>
    <s v="Déplacement et essais pompages"/>
    <m/>
    <m/>
    <n v="306"/>
    <n v="-17937.25"/>
    <s v="PF"/>
    <x v="18"/>
    <x v="15"/>
    <x v="18"/>
    <n v="611000"/>
    <n v="-306"/>
    <x v="5"/>
    <s v="Sous-traitance générale "/>
    <x v="1"/>
    <n v="61"/>
    <s v="Services extérieurs"/>
  </r>
  <r>
    <x v="7"/>
    <s v="BQ"/>
    <m/>
    <d v="2025-12-31T00:00:00"/>
    <s v="Analyse physico-chimique de l’eau"/>
    <m/>
    <m/>
    <n v="300"/>
    <n v="-18237.25"/>
    <s v="PF"/>
    <x v="18"/>
    <x v="15"/>
    <x v="18"/>
    <n v="611000"/>
    <n v="-300"/>
    <x v="5"/>
    <s v="Sous-traitance générale "/>
    <x v="1"/>
    <n v="61"/>
    <s v="Services extérieurs"/>
  </r>
  <r>
    <x v="7"/>
    <s v="BQ"/>
    <m/>
    <d v="2025-12-31T00:00:00"/>
    <s v="Suivi contrôle par un technicien hydrogéologue"/>
    <m/>
    <m/>
    <n v="400"/>
    <n v="-18637.25"/>
    <s v="PF"/>
    <x v="18"/>
    <x v="15"/>
    <x v="18"/>
    <n v="611000"/>
    <n v="-400"/>
    <x v="5"/>
    <s v="Sous-traitance générale "/>
    <x v="1"/>
    <n v="61"/>
    <s v="Services extérieurs"/>
  </r>
  <r>
    <x v="7"/>
    <s v="BQ"/>
    <m/>
    <d v="2025-12-31T00:00:00"/>
    <s v="Main d'œuvre pour l'ensemble"/>
    <m/>
    <m/>
    <n v="2750"/>
    <n v="-21387.25"/>
    <s v="PF"/>
    <x v="18"/>
    <x v="15"/>
    <x v="18"/>
    <n v="611000"/>
    <n v="-2750"/>
    <x v="5"/>
    <s v="Sous-traitance générale "/>
    <x v="1"/>
    <n v="61"/>
    <s v="Services extérieurs"/>
  </r>
  <r>
    <x v="7"/>
    <s v="BQ"/>
    <m/>
    <d v="2025-12-31T00:00:00"/>
    <s v="Construction de 23 toilettes écologiques  Ecosan"/>
    <m/>
    <m/>
    <n v="8275"/>
    <n v="-29662.25"/>
    <s v="PF"/>
    <x v="18"/>
    <x v="15"/>
    <x v="18"/>
    <n v="611000"/>
    <n v="-8275"/>
    <x v="5"/>
    <s v="Sous-traitance générale "/>
    <x v="1"/>
    <n v="61"/>
    <s v="Services extérieurs"/>
  </r>
  <r>
    <x v="7"/>
    <s v="BQ"/>
    <m/>
    <d v="2025-12-31T00:00:00"/>
    <s v="Formation des outils de travail et de gestion COGES-EA"/>
    <m/>
    <m/>
    <n v="775"/>
    <n v="-30437.25"/>
    <s v="PF"/>
    <x v="32"/>
    <x v="15"/>
    <x v="32"/>
    <n v="622800"/>
    <n v="-775"/>
    <x v="5"/>
    <s v="Frais de formation"/>
    <x v="1"/>
    <n v="62"/>
    <s v="Autres services extérieurs"/>
  </r>
  <r>
    <x v="7"/>
    <s v="BQ"/>
    <m/>
    <d v="2025-12-31T00:00:00"/>
    <s v="Sensibilisation des parents d'élèves sur l'importance de l'education de la jeune fille / l'eau et assainissement"/>
    <m/>
    <m/>
    <n v="500"/>
    <n v="-30937.25"/>
    <s v="PF"/>
    <x v="32"/>
    <x v="15"/>
    <x v="32"/>
    <n v="622800"/>
    <n v="-500"/>
    <x v="5"/>
    <s v="Frais de formation"/>
    <x v="1"/>
    <n v="62"/>
    <s v="Autres services extérieurs"/>
  </r>
  <r>
    <x v="7"/>
    <s v="BQ"/>
    <m/>
    <d v="2025-12-31T00:00:00"/>
    <s v="Sensibilisation sur l'hygiène et  assainissement de la population  (méthode PHAST)"/>
    <m/>
    <m/>
    <n v="1000"/>
    <n v="-31937.25"/>
    <s v="PF"/>
    <x v="32"/>
    <x v="15"/>
    <x v="32"/>
    <n v="622800"/>
    <n v="-1000"/>
    <x v="5"/>
    <s v="Frais de formation"/>
    <x v="1"/>
    <n v="62"/>
    <s v="Autres services extérieurs"/>
  </r>
  <r>
    <x v="7"/>
    <s v="BQ"/>
    <m/>
    <d v="2025-12-31T00:00:00"/>
    <s v="Formation des agriculteurs sur la méthode de vidange et achat de matériel de vidange pour 10 agriculteurs"/>
    <m/>
    <m/>
    <n v="875"/>
    <n v="-32812.25"/>
    <s v="PF"/>
    <x v="32"/>
    <x v="15"/>
    <x v="32"/>
    <n v="622800"/>
    <n v="-875"/>
    <x v="5"/>
    <s v="Frais de formation"/>
    <x v="1"/>
    <n v="62"/>
    <s v="Autres services extérieurs"/>
  </r>
  <r>
    <x v="7"/>
    <s v="BQ"/>
    <m/>
    <d v="2025-12-31T00:00:00"/>
    <s v="Suivi des maladies liées à l'eau et assainissement dans les dispensaires les plus proches"/>
    <m/>
    <m/>
    <n v="300"/>
    <n v="-33112.25"/>
    <s v="PF"/>
    <x v="18"/>
    <x v="15"/>
    <x v="18"/>
    <n v="611000"/>
    <n v="-300"/>
    <x v="5"/>
    <s v="Sous-traitance générale "/>
    <x v="1"/>
    <n v="61"/>
    <s v="Services extérieurs"/>
  </r>
  <r>
    <x v="7"/>
    <s v="BQ"/>
    <m/>
    <d v="2025-12-31T00:00:00"/>
    <s v="Frais de reboisement des 2 sites"/>
    <m/>
    <m/>
    <n v="75"/>
    <n v="-33187.25"/>
    <s v="PF"/>
    <x v="18"/>
    <x v="15"/>
    <x v="18"/>
    <n v="611000"/>
    <n v="-75"/>
    <x v="5"/>
    <s v="Sous-traitance générale "/>
    <x v="1"/>
    <n v="61"/>
    <s v="Services extérieurs"/>
  </r>
  <r>
    <x v="7"/>
    <s v="BQ"/>
    <m/>
    <d v="2025-12-31T00:00:00"/>
    <s v="Communication "/>
    <m/>
    <m/>
    <n v="1325"/>
    <n v="-34512.25"/>
    <s v="PF"/>
    <x v="15"/>
    <x v="15"/>
    <x v="15"/>
    <n v="623000"/>
    <n v="-1325"/>
    <x v="5"/>
    <s v="Publicité, publications, Création de site web"/>
    <x v="1"/>
    <n v="62"/>
    <s v="Autres services extérieurs"/>
  </r>
  <r>
    <x v="7"/>
    <s v="BQ"/>
    <m/>
    <d v="2025-12-31T00:00:00"/>
    <s v="Capitalisation"/>
    <m/>
    <m/>
    <n v="500"/>
    <n v="-35012.25"/>
    <s v="PF"/>
    <x v="18"/>
    <x v="15"/>
    <x v="18"/>
    <n v="611000"/>
    <n v="-500"/>
    <x v="5"/>
    <s v="Sous-traitance générale "/>
    <x v="1"/>
    <n v="61"/>
    <s v="Services extérieurs"/>
  </r>
  <r>
    <x v="7"/>
    <s v="BQ"/>
    <m/>
    <d v="2025-12-31T00:00:00"/>
    <s v="Evaluation externe du projet sur le terrain"/>
    <m/>
    <m/>
    <n v="450"/>
    <n v="-35462.25"/>
    <s v="PF"/>
    <x v="18"/>
    <x v="15"/>
    <x v="18"/>
    <n v="611000"/>
    <n v="-450"/>
    <x v="5"/>
    <s v="Sous-traitance générale "/>
    <x v="1"/>
    <n v="61"/>
    <s v="Services extérieurs"/>
  </r>
  <r>
    <x v="7"/>
    <s v="BQ"/>
    <m/>
    <d v="2025-12-31T00:00:00"/>
    <s v="Consommables bureautique"/>
    <m/>
    <m/>
    <n v="486.75"/>
    <n v="-35949"/>
    <s v="PF"/>
    <x v="18"/>
    <x v="15"/>
    <x v="18"/>
    <n v="611000"/>
    <n v="-486.75"/>
    <x v="5"/>
    <s v="Sous-traitance générale "/>
    <x v="1"/>
    <n v="61"/>
    <s v="Services extérieurs"/>
  </r>
  <r>
    <x v="7"/>
    <s v="BQ"/>
    <m/>
    <d v="2025-12-31T00:00:00"/>
    <s v="Ceremonie de réception des 2 forages"/>
    <m/>
    <m/>
    <n v="325"/>
    <n v="-36274"/>
    <s v="PF"/>
    <x v="18"/>
    <x v="15"/>
    <x v="18"/>
    <n v="611000"/>
    <n v="-325"/>
    <x v="5"/>
    <s v="Sous-traitance générale "/>
    <x v="1"/>
    <n v="61"/>
    <s v="Services extérieurs"/>
  </r>
  <r>
    <x v="7"/>
    <s v="BQ"/>
    <m/>
    <d v="2025-12-31T00:00:00"/>
    <s v="Fabrication des plaques d'identification des forages (logos partenaires)"/>
    <m/>
    <m/>
    <n v="200"/>
    <n v="-36474"/>
    <s v="PF"/>
    <x v="18"/>
    <x v="15"/>
    <x v="18"/>
    <n v="611000"/>
    <n v="-200"/>
    <x v="5"/>
    <s v="Sous-traitance générale "/>
    <x v="1"/>
    <n v="61"/>
    <s v="Services extérieurs"/>
  </r>
  <r>
    <x v="7"/>
    <s v="BQ"/>
    <m/>
    <d v="2025-12-31T00:00:00"/>
    <s v="Bénévolat des membres des associations"/>
    <m/>
    <m/>
    <m/>
    <n v="-36474"/>
    <s v="PF"/>
    <x v="11"/>
    <x v="15"/>
    <x v="11"/>
    <n v="862000"/>
    <n v="0"/>
    <x v="5"/>
    <s v="Prestations"/>
    <x v="1"/>
    <n v="86"/>
    <s v="Emplois des contributions volontaires"/>
  </r>
  <r>
    <x v="7"/>
    <s v="BQ"/>
    <m/>
    <d v="2025-12-31T00:00:00"/>
    <s v="Fonds propres ou assimilés"/>
    <m/>
    <m/>
    <m/>
    <n v="-36474"/>
    <s v="PF"/>
    <x v="41"/>
    <x v="15"/>
    <x v="41"/>
    <n v="777000"/>
    <n v="0"/>
    <x v="5"/>
    <s v="Produits exceptionnels"/>
    <x v="2"/>
    <n v="77"/>
    <s v="Produits exceptionnels"/>
  </r>
  <r>
    <x v="7"/>
    <s v="BQ"/>
    <m/>
    <d v="2025-12-31T00:00:00"/>
    <s v="Bordeaux metropole"/>
    <m/>
    <m/>
    <m/>
    <n v="-23974"/>
    <s v="PF"/>
    <x v="43"/>
    <x v="15"/>
    <x v="44"/>
    <n v="744000"/>
    <n v="0"/>
    <x v="5"/>
    <s v="Subvention Bx Métropole"/>
    <x v="2"/>
    <n v="74"/>
    <s v="Subventions d'exploitation"/>
  </r>
  <r>
    <x v="7"/>
    <s v="BQ"/>
    <m/>
    <d v="2025-12-31T00:00:00"/>
    <s v="Agence de l'Eau Adour Garonne"/>
    <m/>
    <n v="3750"/>
    <m/>
    <n v="-5724"/>
    <s v="PF"/>
    <x v="40"/>
    <x v="15"/>
    <x v="40"/>
    <n v="743000"/>
    <n v="3750"/>
    <x v="5"/>
    <s v="subvention Agence Adour Garonne"/>
    <x v="2"/>
    <n v="74"/>
    <s v="Subventions d'exploitation"/>
  </r>
  <r>
    <x v="7"/>
    <s v="BQ"/>
    <m/>
    <d v="2025-12-31T00:00:00"/>
    <s v="Aglo de Brive / Valorem"/>
    <m/>
    <n v="2074"/>
    <m/>
    <n v="-3650"/>
    <s v="PF"/>
    <x v="44"/>
    <x v="15"/>
    <x v="45"/>
    <n v="745000"/>
    <n v="2074"/>
    <x v="5"/>
    <s v="Subv Aglo de Brive / Valorem"/>
    <x v="2"/>
    <n v="74"/>
    <s v="Subventions d'exploitation"/>
  </r>
  <r>
    <x v="7"/>
    <s v="BQ"/>
    <m/>
    <d v="2025-12-31T00:00:00"/>
    <s v="Valorisation aide locale"/>
    <m/>
    <n v="1825"/>
    <m/>
    <n v="-1825"/>
    <s v="PF"/>
    <x v="10"/>
    <x v="15"/>
    <x v="10"/>
    <n v="871000"/>
    <n v="1825"/>
    <x v="5"/>
    <s v="Prestations en nature"/>
    <x v="2"/>
    <n v="87"/>
    <s v="Contributions volontaires"/>
  </r>
  <r>
    <x v="8"/>
    <m/>
    <m/>
    <m/>
    <m/>
    <m/>
    <m/>
    <m/>
    <m/>
    <m/>
    <x v="48"/>
    <x v="16"/>
    <x v="49"/>
    <m/>
    <m/>
    <x v="6"/>
    <m/>
    <x v="3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941">
  <r>
    <x v="0"/>
    <s v="BQ"/>
    <m/>
    <d v="2020-01-01T00:00:00"/>
    <s v="solde ouverture"/>
    <m/>
    <n v="306.08999999999997"/>
    <m/>
    <n v="306.08999999999997"/>
    <s v="ZZ"/>
    <x v="0"/>
    <s v="SOLDE N-1"/>
    <x v="0"/>
    <n v="512000"/>
    <n v="306.08999999999997"/>
    <x v="0"/>
    <s v="Banque"/>
    <x v="0"/>
    <n v="50"/>
    <s v="Trésorerie"/>
  </r>
  <r>
    <x v="0"/>
    <s v="BQ"/>
    <m/>
    <d v="2020-06-16T00:00:00"/>
    <s v="Adhésion helloAsso"/>
    <m/>
    <m/>
    <n v="31"/>
    <n v="275.08999999999997"/>
    <s v="ADM"/>
    <x v="1"/>
    <s v="ADMINIST ET FONCT"/>
    <x v="1"/>
    <n v="628100"/>
    <n v="-31"/>
    <x v="0"/>
    <s v="adhesion Hellasso"/>
    <x v="1"/>
    <n v="62"/>
    <s v="Autres services extérieurs"/>
  </r>
  <r>
    <x v="0"/>
    <s v="BQ"/>
    <m/>
    <d v="2020-07-08T00:00:00"/>
    <s v="Courrier Poste/prefect,"/>
    <m/>
    <m/>
    <n v="6.65"/>
    <n v="268.44"/>
    <s v="ADM"/>
    <x v="2"/>
    <s v="ADMINIST ET FONCT"/>
    <x v="2"/>
    <n v="626100"/>
    <n v="-6.65"/>
    <x v="0"/>
    <s v="Frais postaux"/>
    <x v="1"/>
    <n v="62"/>
    <s v="Autres services extérieurs"/>
  </r>
  <r>
    <x v="0"/>
    <s v="BQ"/>
    <m/>
    <d v="2020-08-31T00:00:00"/>
    <s v="Adhésion RAHMI"/>
    <m/>
    <m/>
    <n v="20"/>
    <n v="248.44"/>
    <s v="ADM"/>
    <x v="3"/>
    <s v="ADMINIST ET FONCT"/>
    <x v="3"/>
    <n v="628200"/>
    <n v="-20"/>
    <x v="0"/>
    <s v="adhésion RAHMI"/>
    <x v="1"/>
    <n v="62"/>
    <s v="Autres services extérieurs"/>
  </r>
  <r>
    <x v="0"/>
    <s v="BQ"/>
    <m/>
    <d v="2020-08-31T00:00:00"/>
    <s v="Cot mens CLEMENT (Janv-Déc)"/>
    <m/>
    <n v="240"/>
    <m/>
    <n v="488.44"/>
    <s v="ADM"/>
    <x v="4"/>
    <s v="ADMINIST ET FONCT"/>
    <x v="4"/>
    <n v="777100"/>
    <n v="240"/>
    <x v="0"/>
    <s v="Dons et autres mises à dispositions gratuites"/>
    <x v="2"/>
    <n v="77"/>
    <s v="Produits exceptionnels"/>
  </r>
  <r>
    <x v="0"/>
    <s v="BQ"/>
    <m/>
    <d v="2020-09-04T00:00:00"/>
    <s v="Assurance MAIF"/>
    <m/>
    <m/>
    <n v="32.03"/>
    <n v="456.40999999999997"/>
    <s v="ADM"/>
    <x v="5"/>
    <s v="ADMINIST ET FONCT"/>
    <x v="5"/>
    <n v="616000"/>
    <n v="-32.03"/>
    <x v="0"/>
    <s v="Primes d'assurance"/>
    <x v="1"/>
    <n v="61"/>
    <s v="Services extérieurs"/>
  </r>
  <r>
    <x v="0"/>
    <s v="BQ"/>
    <m/>
    <d v="2020-09-17T00:00:00"/>
    <s v="Transport matériel de récup (NELTRANS)"/>
    <m/>
    <m/>
    <n v="360"/>
    <n v="96.409999999999968"/>
    <s v="ADM"/>
    <x v="2"/>
    <s v="ADMINIST ET FONCT"/>
    <x v="2"/>
    <n v="626100"/>
    <n v="-360"/>
    <x v="0"/>
    <s v="Frais postaux"/>
    <x v="1"/>
    <n v="62"/>
    <s v="Autres services extérieurs"/>
  </r>
  <r>
    <x v="0"/>
    <s v="BQ"/>
    <m/>
    <d v="2020-09-14T00:00:00"/>
    <s v="Achat de timbres"/>
    <m/>
    <m/>
    <n v="27.84"/>
    <n v="68.569999999999965"/>
    <s v="ADM"/>
    <x v="2"/>
    <s v="ADMINIST ET FONCT"/>
    <x v="2"/>
    <n v="626100"/>
    <n v="-27.84"/>
    <x v="0"/>
    <s v="Frais postaux"/>
    <x v="1"/>
    <n v="62"/>
    <s v="Autres services extérieurs"/>
  </r>
  <r>
    <x v="0"/>
    <s v="BQ"/>
    <m/>
    <d v="2020-09-14T00:00:00"/>
    <s v="Matériel bueautique"/>
    <m/>
    <m/>
    <n v="20.32"/>
    <n v="48.249999999999964"/>
    <s v="ADM"/>
    <x v="6"/>
    <s v="ADMINIST ET FONCT"/>
    <x v="6"/>
    <n v="606400"/>
    <n v="-20.32"/>
    <x v="0"/>
    <s v="Fournitures administratives"/>
    <x v="1"/>
    <n v="60"/>
    <s v="Achat"/>
  </r>
  <r>
    <x v="0"/>
    <s v="BQ"/>
    <m/>
    <d v="2020-09-17T00:00:00"/>
    <s v="Don Monique Maillebiau"/>
    <m/>
    <n v="100"/>
    <m/>
    <n v="148.24999999999997"/>
    <s v="ADM"/>
    <x v="7"/>
    <s v="ADMINIST ET FONCT"/>
    <x v="7"/>
    <n v="758100"/>
    <n v="100"/>
    <x v="0"/>
    <s v="Cotisations individuelles et associatives"/>
    <x v="2"/>
    <n v="75"/>
    <s v="Autres produits de gestion courante"/>
  </r>
  <r>
    <x v="0"/>
    <s v="BQ"/>
    <m/>
    <d v="2020-09-19T00:00:00"/>
    <s v="Corbeille Courrier"/>
    <m/>
    <m/>
    <n v="18.059999999999999"/>
    <n v="130.18999999999997"/>
    <s v="ADM"/>
    <x v="6"/>
    <s v="ADMINIST ET FONCT"/>
    <x v="6"/>
    <n v="606400"/>
    <n v="-18.059999999999999"/>
    <x v="0"/>
    <s v="Fournitures administratives"/>
    <x v="1"/>
    <n v="60"/>
    <s v="Achat"/>
  </r>
  <r>
    <x v="0"/>
    <s v="BQ"/>
    <m/>
    <d v="2020-09-28T00:00:00"/>
    <s v="Achat agrafeuse"/>
    <m/>
    <m/>
    <n v="11.9"/>
    <n v="118.28999999999996"/>
    <s v="ADM"/>
    <x v="6"/>
    <s v="ADMINIST ET FONCT"/>
    <x v="6"/>
    <n v="606400"/>
    <n v="-11.9"/>
    <x v="0"/>
    <s v="Fournitures administratives"/>
    <x v="1"/>
    <n v="60"/>
    <s v="Achat"/>
  </r>
  <r>
    <x v="0"/>
    <s v="BQ"/>
    <m/>
    <d v="2020-10-17T00:00:00"/>
    <s v="Frais hydrogéologique nokbak"/>
    <m/>
    <m/>
    <n v="240"/>
    <n v="-121.71000000000004"/>
    <s v="ADM"/>
    <x v="8"/>
    <s v="ADMINIST ET FONCT"/>
    <x v="8"/>
    <n v="604000"/>
    <n v="-240"/>
    <x v="0"/>
    <s v="Prestations de services (Hydrogéologue Nokbak)"/>
    <x v="1"/>
    <n v="60"/>
    <s v="Achat"/>
  </r>
  <r>
    <x v="0"/>
    <s v="BQ"/>
    <m/>
    <d v="2020-10-26T00:00:00"/>
    <s v="Adhésion et  don LAFON"/>
    <m/>
    <n v="50"/>
    <m/>
    <n v="-71.710000000000036"/>
    <s v="ADM"/>
    <x v="7"/>
    <s v="ADMINIST ET FONCT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FERILLOT"/>
    <m/>
    <n v="50"/>
    <m/>
    <n v="-21.710000000000036"/>
    <s v="ADM"/>
    <x v="7"/>
    <s v="ADMINIST ET FONCT"/>
    <x v="7"/>
    <n v="758100"/>
    <n v="50"/>
    <x v="0"/>
    <s v="Cotisations individuelles et associatives"/>
    <x v="2"/>
    <n v="75"/>
    <s v="Autres produits de gestion courante"/>
  </r>
  <r>
    <x v="0"/>
    <s v="BQ"/>
    <m/>
    <d v="2020-10-26T00:00:00"/>
    <s v="Adhésion et  don ALIOUNE"/>
    <m/>
    <n v="20"/>
    <m/>
    <n v="-1.7100000000000364"/>
    <s v="ADM"/>
    <x v="7"/>
    <s v="ADMINIST ET FONCT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SOSSOU"/>
    <m/>
    <n v="20"/>
    <m/>
    <n v="18.289999999999964"/>
    <s v="ADM"/>
    <x v="7"/>
    <s v="ADMINIST ET FONCT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AGBIDI"/>
    <m/>
    <n v="20"/>
    <m/>
    <n v="38.289999999999964"/>
    <s v="ADM"/>
    <x v="7"/>
    <s v="ADMINIST ET FONCT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Béatrice"/>
    <m/>
    <n v="20"/>
    <m/>
    <n v="58.289999999999964"/>
    <s v="ADM"/>
    <x v="7"/>
    <s v="ADMINIST ET FONCT"/>
    <x v="7"/>
    <n v="758100"/>
    <n v="20"/>
    <x v="0"/>
    <s v="Cotisations individuelles et associatives"/>
    <x v="2"/>
    <n v="75"/>
    <s v="Autres produits de gestion courante"/>
  </r>
  <r>
    <x v="0"/>
    <s v="BQ"/>
    <m/>
    <d v="2020-10-26T00:00:00"/>
    <s v="Adhésion et  don DAMETARE"/>
    <m/>
    <n v="20"/>
    <m/>
    <n v="78.289999999999964"/>
    <s v="ADM"/>
    <x v="7"/>
    <s v="ADMINIST ET FONCT"/>
    <x v="7"/>
    <n v="758100"/>
    <n v="20"/>
    <x v="0"/>
    <s v="Cotisations individuelles et associatives"/>
    <x v="2"/>
    <n v="75"/>
    <s v="Autres produits de gestion courante"/>
  </r>
  <r>
    <x v="0"/>
    <s v="BQ"/>
    <m/>
    <d v="2020-12-29T00:00:00"/>
    <s v="Adhésion Evelyne LAFON"/>
    <m/>
    <n v="50"/>
    <m/>
    <n v="128.28999999999996"/>
    <s v="ADM"/>
    <x v="7"/>
    <s v="ADMINIST ET FONCT"/>
    <x v="7"/>
    <n v="758100"/>
    <n v="50"/>
    <x v="0"/>
    <s v="Cotisations individuelles et associatives"/>
    <x v="2"/>
    <n v="75"/>
    <s v="Autres produits de gestion courante"/>
  </r>
  <r>
    <x v="0"/>
    <s v="BQ"/>
    <m/>
    <d v="2020-12-10T00:00:00"/>
    <s v="Muriel PECASSOU"/>
    <m/>
    <n v="30"/>
    <m/>
    <n v="158.28999999999996"/>
    <s v="ADM"/>
    <x v="7"/>
    <s v="ADMINIST ET FONCT"/>
    <x v="7"/>
    <n v="758100"/>
    <n v="30"/>
    <x v="0"/>
    <s v="Cotisations individuelles et associatives"/>
    <x v="2"/>
    <n v="75"/>
    <s v="Autres produits de gestion courante"/>
  </r>
  <r>
    <x v="0"/>
    <s v="BQ"/>
    <m/>
    <d v="2020-12-28T00:00:00"/>
    <s v="Muriel BOUYER"/>
    <m/>
    <n v="30"/>
    <m/>
    <n v="188.28999999999996"/>
    <s v="ADM"/>
    <x v="7"/>
    <s v="ADMINIST ET FONCT"/>
    <x v="7"/>
    <n v="758100"/>
    <n v="30"/>
    <x v="0"/>
    <s v="Cotisations individuelles et associatives"/>
    <x v="2"/>
    <n v="75"/>
    <s v="Autres produits de gestion courante"/>
  </r>
  <r>
    <x v="0"/>
    <s v="BQ"/>
    <m/>
    <d v="2020-12-30T00:00:00"/>
    <s v="Alain PONS"/>
    <m/>
    <n v="50"/>
    <m/>
    <n v="238.28999999999996"/>
    <s v="ADM"/>
    <x v="7"/>
    <s v="ADMINIST ET FONCT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Isabelle MESPLESOMPS"/>
    <m/>
    <n v="50"/>
    <m/>
    <n v="288.28999999999996"/>
    <s v="ADM"/>
    <x v="7"/>
    <s v="ADMINIST ET FONCT"/>
    <x v="7"/>
    <n v="758100"/>
    <n v="50"/>
    <x v="0"/>
    <s v="Cotisations individuelles et associatives"/>
    <x v="2"/>
    <n v="75"/>
    <s v="Autres produits de gestion courante"/>
  </r>
  <r>
    <x v="0"/>
    <s v="BQ"/>
    <m/>
    <d v="2020-12-30T00:00:00"/>
    <s v="Christine SAVIGNOL"/>
    <m/>
    <n v="50"/>
    <m/>
    <n v="338.28999999999996"/>
    <s v="ADM"/>
    <x v="7"/>
    <s v="ADMINIST ET FONCT"/>
    <x v="7"/>
    <n v="758100"/>
    <n v="50"/>
    <x v="0"/>
    <s v="Cotisations individuelles et associatives"/>
    <x v="2"/>
    <n v="75"/>
    <s v="Autres produits de gestion courante"/>
  </r>
  <r>
    <x v="0"/>
    <s v="OD"/>
    <m/>
    <d v="2020-12-30T00:00:00"/>
    <s v="Bénévolat"/>
    <m/>
    <n v="8320"/>
    <m/>
    <n v="8658.2900000000009"/>
    <s v="ADM"/>
    <x v="9"/>
    <s v="ADMINIST ET FONCT"/>
    <x v="9"/>
    <n v="870000"/>
    <n v="8320"/>
    <x v="0"/>
    <s v="Bénévolat"/>
    <x v="2"/>
    <n v="87"/>
    <s v="Contributions volontaires"/>
  </r>
  <r>
    <x v="0"/>
    <s v="OD"/>
    <m/>
    <d v="2020-12-30T00:00:00"/>
    <s v="Prestations en nature"/>
    <m/>
    <n v="400"/>
    <m/>
    <n v="9058.2900000000009"/>
    <s v="ADM"/>
    <x v="10"/>
    <s v="ADMINIST ET FONCT"/>
    <x v="10"/>
    <n v="871000"/>
    <n v="400"/>
    <x v="0"/>
    <s v="Prestations en nature"/>
    <x v="2"/>
    <n v="87"/>
    <s v="Contributions volontaires"/>
  </r>
  <r>
    <x v="0"/>
    <s v="OD"/>
    <m/>
    <d v="2020-12-30T00:00:00"/>
    <s v="Prestations"/>
    <m/>
    <m/>
    <n v="400"/>
    <n v="8658.2900000000009"/>
    <s v="ADM"/>
    <x v="11"/>
    <s v="ADMINIST ET FONCT"/>
    <x v="11"/>
    <n v="862000"/>
    <n v="-400"/>
    <x v="0"/>
    <s v="Prestations"/>
    <x v="1"/>
    <n v="86"/>
    <s v="Emplois des contributions volontaires"/>
  </r>
  <r>
    <x v="0"/>
    <s v="OD"/>
    <m/>
    <d v="2020-12-30T00:00:00"/>
    <s v="Personnels bénévoles"/>
    <m/>
    <m/>
    <n v="8320"/>
    <n v="338.29000000000087"/>
    <s v="ADM"/>
    <x v="12"/>
    <s v="ADMINIST ET FONCT"/>
    <x v="12"/>
    <n v="864000"/>
    <n v="-8320"/>
    <x v="0"/>
    <s v="Personnels bénévoles"/>
    <x v="1"/>
    <n v="86"/>
    <s v="Contributions volontaires"/>
  </r>
  <r>
    <x v="1"/>
    <s v="BQ"/>
    <m/>
    <d v="2021-01-01T00:00:00"/>
    <s v="solde ouverture"/>
    <m/>
    <n v="338.28999999999996"/>
    <m/>
    <n v="338.28999999999996"/>
    <s v="GHM"/>
    <x v="0"/>
    <s v="HYGIENE MENSTRUELLE"/>
    <x v="0"/>
    <n v="512000"/>
    <n v="338.28999999999996"/>
    <x v="1"/>
    <s v="Banque"/>
    <x v="0"/>
    <n v="50"/>
    <s v="Trésorerie"/>
  </r>
  <r>
    <x v="1"/>
    <s v="BQ"/>
    <m/>
    <d v="2021-12-31T00:00:00"/>
    <s v=" Fournitures de bureau et consommables"/>
    <m/>
    <m/>
    <n v="100"/>
    <n v="238.28999999999996"/>
    <s v="ADM"/>
    <x v="13"/>
    <s v="ADMINIST ET FONCT"/>
    <x v="13"/>
    <n v="602200"/>
    <n v="-100"/>
    <x v="1"/>
    <s v="Fournitures de bureau et consommables"/>
    <x v="1"/>
    <n v="60"/>
    <s v="Achat"/>
  </r>
  <r>
    <x v="1"/>
    <s v="BQ"/>
    <m/>
    <d v="2021-12-31T00:00:00"/>
    <s v="Prestations et services (hydrogéologue)"/>
    <m/>
    <m/>
    <n v="240"/>
    <n v="-1.7100000000000364"/>
    <s v="ADM"/>
    <x v="8"/>
    <s v="ADMINIST ET FONCT"/>
    <x v="8"/>
    <n v="604000"/>
    <n v="-240"/>
    <x v="1"/>
    <s v="Prestations de services (Hydrogéologue Nokbak)"/>
    <x v="1"/>
    <n v="60"/>
    <s v="Achat"/>
  </r>
  <r>
    <x v="1"/>
    <s v="BQ"/>
    <m/>
    <d v="2021-12-31T00:00:00"/>
    <s v="Fournitures administratives"/>
    <m/>
    <m/>
    <n v="100"/>
    <n v="-101.71000000000004"/>
    <s v="ADM"/>
    <x v="6"/>
    <s v="ADMINIST ET FONCT"/>
    <x v="6"/>
    <n v="606400"/>
    <n v="-100"/>
    <x v="1"/>
    <s v="Fournitures administratives"/>
    <x v="1"/>
    <n v="60"/>
    <s v="Achat"/>
  </r>
  <r>
    <x v="1"/>
    <s v="BQ"/>
    <m/>
    <d v="2021-12-31T00:00:00"/>
    <s v="Primes d'assurance"/>
    <m/>
    <m/>
    <n v="150"/>
    <n v="-251.71000000000004"/>
    <s v="ADM"/>
    <x v="5"/>
    <s v="ADMINIST ET FONCT"/>
    <x v="5"/>
    <n v="616000"/>
    <n v="-150"/>
    <x v="1"/>
    <s v="Primes d'assurance"/>
    <x v="1"/>
    <n v="61"/>
    <s v="Services extérieurs"/>
  </r>
  <r>
    <x v="1"/>
    <s v="BQ"/>
    <m/>
    <d v="2021-12-31T00:00:00"/>
    <s v="Documentation générale"/>
    <m/>
    <m/>
    <n v="50"/>
    <n v="-301.71000000000004"/>
    <s v="ADM"/>
    <x v="14"/>
    <s v="ADMINIST ET FONCT"/>
    <x v="14"/>
    <n v="618100"/>
    <n v="-50"/>
    <x v="1"/>
    <s v="Documentation générale"/>
    <x v="1"/>
    <n v="61"/>
    <s v="Autres services extérieurs"/>
  </r>
  <r>
    <x v="1"/>
    <s v="BQ"/>
    <m/>
    <d v="2021-12-31T00:00:00"/>
    <s v="Publicité, publications, relation publiques"/>
    <m/>
    <m/>
    <n v="50"/>
    <n v="-351.71000000000004"/>
    <s v="ADM"/>
    <x v="15"/>
    <s v="ADMINIST ET FONCT"/>
    <x v="15"/>
    <n v="623000"/>
    <n v="-50"/>
    <x v="1"/>
    <s v="Publicité, publications, Création de site web"/>
    <x v="1"/>
    <n v="62"/>
    <s v="Autres services extérieurs"/>
  </r>
  <r>
    <x v="1"/>
    <s v="BQ"/>
    <m/>
    <d v="2021-12-31T00:00:00"/>
    <s v="Déplacements, missions et réceptions"/>
    <m/>
    <m/>
    <n v="800"/>
    <n v="-1151.71"/>
    <s v="ADM"/>
    <x v="16"/>
    <s v="ADMINIST ET FONCT"/>
    <x v="16"/>
    <n v="625000"/>
    <n v="-800"/>
    <x v="1"/>
    <s v="Déplacements, missions et réceptions"/>
    <x v="1"/>
    <n v="62"/>
    <s v="Autres services extérieurs"/>
  </r>
  <r>
    <x v="1"/>
    <s v="BQ"/>
    <m/>
    <d v="2021-12-31T00:00:00"/>
    <s v="Frais postaux et de télécommunications"/>
    <m/>
    <m/>
    <n v="90"/>
    <n v="-1241.71"/>
    <s v="ADM"/>
    <x v="2"/>
    <s v="ADMINIST ET FONCT"/>
    <x v="2"/>
    <n v="626100"/>
    <n v="-90"/>
    <x v="1"/>
    <s v="Frais postaux"/>
    <x v="1"/>
    <n v="62"/>
    <s v="Autres services extérieurs"/>
  </r>
  <r>
    <x v="1"/>
    <s v="BQ"/>
    <m/>
    <d v="2021-12-31T00:00:00"/>
    <s v="Frais de téléphone, fax et portable"/>
    <m/>
    <m/>
    <n v="120"/>
    <n v="-1361.71"/>
    <s v="ADM"/>
    <x v="17"/>
    <s v="ADMINIST ET FONCT"/>
    <x v="17"/>
    <n v="626200"/>
    <n v="-120"/>
    <x v="1"/>
    <s v="Frais de téléphone, fax et portables"/>
    <x v="1"/>
    <n v="62"/>
    <s v="Autres services extérieurs"/>
  </r>
  <r>
    <x v="1"/>
    <s v="BQ"/>
    <m/>
    <d v="2021-12-31T00:00:00"/>
    <s v="Cotisation extérieures"/>
    <m/>
    <m/>
    <n v="200"/>
    <n v="-1561.71"/>
    <s v="ADM"/>
    <x v="1"/>
    <s v="ADMINIST ET FONCT"/>
    <x v="1"/>
    <n v="628100"/>
    <n v="-200"/>
    <x v="1"/>
    <s v="adhesion Hellasso"/>
    <x v="1"/>
    <n v="62"/>
    <s v="Autres services extérieurs"/>
  </r>
  <r>
    <x v="1"/>
    <s v="BQ"/>
    <m/>
    <d v="2021-12-31T00:00:00"/>
    <s v="Projets internationaux  (Lomé GH Menstruelle)"/>
    <m/>
    <m/>
    <n v="23500"/>
    <n v="-25061.71"/>
    <s v="GHM"/>
    <x v="18"/>
    <s v="HYGIENE MENSTRUELLE"/>
    <x v="18"/>
    <n v="611000"/>
    <n v="-235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3000"/>
    <n v="-28061.71"/>
    <s v="DT2"/>
    <x v="19"/>
    <s v="DASSOUTE TEUILLAC CONST ECOLE"/>
    <x v="19"/>
    <n v="611000"/>
    <n v="-3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29061.71"/>
    <s v="DT1F"/>
    <x v="20"/>
    <s v="DASSOUTE TEUILLAC FOURN SCOLAIRES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0061.71"/>
    <s v="DT1M"/>
    <x v="20"/>
    <s v="DASSOUTE TEUILLAC MARAICHAGE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s internationaux (Dassout Teuillac)"/>
    <m/>
    <m/>
    <n v="1000"/>
    <n v="-31061.71"/>
    <s v="DT3"/>
    <x v="20"/>
    <s v="DASSOUTE TEUILLAC COLLEGE"/>
    <x v="20"/>
    <n v="611000"/>
    <n v="-1000"/>
    <x v="1"/>
    <s v="Sous-traitance générale "/>
    <x v="1"/>
    <n v="61"/>
    <s v="Services extérieurs"/>
  </r>
  <r>
    <x v="1"/>
    <s v="BQ"/>
    <m/>
    <d v="2021-12-31T00:00:00"/>
    <s v="Projet &quot;vacances ouvertes&quot;"/>
    <m/>
    <m/>
    <n v="3000"/>
    <n v="-34061.71"/>
    <s v="VO"/>
    <x v="18"/>
    <s v="PROJET VACANCES OUVERTES"/>
    <x v="18"/>
    <n v="611000"/>
    <n v="-3000"/>
    <x v="1"/>
    <s v="Sous-traitance générale "/>
    <x v="1"/>
    <n v="61"/>
    <s v="Services extérieurs"/>
  </r>
  <r>
    <x v="1"/>
    <s v="BQ"/>
    <m/>
    <d v="2021-12-31T00:00:00"/>
    <s v="bénévolat GHM"/>
    <m/>
    <m/>
    <n v="4000"/>
    <n v="-38061.71"/>
    <s v="GHM"/>
    <x v="12"/>
    <s v="HYGIENE MENSTRUELLE"/>
    <x v="12"/>
    <n v="864000"/>
    <n v="-4000"/>
    <x v="1"/>
    <s v="Personnels bénévoles"/>
    <x v="1"/>
    <n v="86"/>
    <s v="Contributions volontaires"/>
  </r>
  <r>
    <x v="1"/>
    <s v="BQ"/>
    <m/>
    <d v="2021-12-31T00:00:00"/>
    <s v=" bénévolat+ AUTRES CHARGES"/>
    <m/>
    <m/>
    <n v="8440"/>
    <n v="-46501.71"/>
    <s v="ADM"/>
    <x v="12"/>
    <s v="ADMINIST ET FONCT"/>
    <x v="12"/>
    <n v="864000"/>
    <n v="-8440"/>
    <x v="1"/>
    <s v="Personnels bénévoles"/>
    <x v="1"/>
    <n v="86"/>
    <s v="Contributions volontaires"/>
  </r>
  <r>
    <x v="1"/>
    <s v="BQ"/>
    <m/>
    <d v="2021-12-31T00:00:00"/>
    <s v="Produits des activités annexes (manifestations)"/>
    <m/>
    <n v="1000"/>
    <m/>
    <n v="-45501.71"/>
    <s v="ADM"/>
    <x v="21"/>
    <s v="ADMINIST ET FONCT"/>
    <x v="21"/>
    <n v="708000"/>
    <n v="1000"/>
    <x v="1"/>
    <s v="Produits des activités annexes"/>
    <x v="2"/>
    <n v="70"/>
    <s v="Ventes et prestations de services"/>
  </r>
  <r>
    <x v="1"/>
    <s v="BQ"/>
    <m/>
    <d v="2021-12-31T00:00:00"/>
    <s v="Fonds propres"/>
    <m/>
    <n v="1500"/>
    <m/>
    <n v="-44001.71"/>
    <s v="GHM"/>
    <x v="22"/>
    <s v="HYGIENE MENSTRUELLE"/>
    <x v="22"/>
    <n v="708800"/>
    <n v="1500"/>
    <x v="1"/>
    <s v="Divers"/>
    <x v="2"/>
    <n v="70"/>
    <s v="Subventions d'exploitation"/>
  </r>
  <r>
    <x v="1"/>
    <s v="BQ"/>
    <m/>
    <d v="2021-12-31T00:00:00"/>
    <s v="Divers chèques vacances&quot; vacances ouvertes&quot;&quot;"/>
    <m/>
    <n v="3000"/>
    <m/>
    <n v="-41001.71"/>
    <s v="VO"/>
    <x v="21"/>
    <s v="PROJET VACANCES OUVERTES"/>
    <x v="21"/>
    <n v="708000"/>
    <n v="3000"/>
    <x v="1"/>
    <s v="Produits des activités annexes"/>
    <x v="2"/>
    <n v="70"/>
    <s v="Ventes et prestations de services"/>
  </r>
  <r>
    <x v="1"/>
    <s v="BQ"/>
    <m/>
    <d v="2021-12-31T00:00:00"/>
    <s v="GHM AMP et Gratitude"/>
    <m/>
    <n v="12000"/>
    <m/>
    <n v="-29001.71"/>
    <s v="GHM"/>
    <x v="23"/>
    <s v="HYGIENE MENSTRUELLE"/>
    <x v="23"/>
    <n v="742000"/>
    <n v="12000"/>
    <x v="1"/>
    <s v="AMP-GRATITUDE"/>
    <x v="2"/>
    <n v="74"/>
    <s v="Subventions d'exploitation"/>
  </r>
  <r>
    <x v="1"/>
    <s v="BQ"/>
    <m/>
    <d v="2021-12-31T00:00:00"/>
    <s v="subvention à solliciter  (Région NA?)"/>
    <m/>
    <n v="10000"/>
    <m/>
    <n v="-19001.71"/>
    <s v="GHM"/>
    <x v="24"/>
    <s v="HYGIENE MENSTRUELLE"/>
    <x v="24"/>
    <n v="741000"/>
    <n v="10000"/>
    <x v="1"/>
    <s v="Région Nouvelle-Aquitaine"/>
    <x v="2"/>
    <n v="74"/>
    <s v="Subventions d'exploitation"/>
  </r>
  <r>
    <x v="1"/>
    <s v="BQ"/>
    <m/>
    <d v="2021-12-31T00:00:00"/>
    <s v="mairie Teuillac"/>
    <m/>
    <n v="3000"/>
    <m/>
    <n v="-16001.71"/>
    <s v="DT2"/>
    <x v="4"/>
    <s v="DASSOUTE TEUILLAC CONST ECOLE"/>
    <x v="4"/>
    <n v="748000"/>
    <n v="3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5001.71"/>
    <s v="DT1F"/>
    <x v="4"/>
    <s v="DASSOUTE TEUILLAC FOURN SCOLAIRES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4001.71"/>
    <s v="DT1M"/>
    <x v="4"/>
    <s v="DASSOUTE TEUILLAC MARAICHAGE"/>
    <x v="4"/>
    <n v="748000"/>
    <n v="1000"/>
    <x v="1"/>
    <s v="Mairie de Teuillac"/>
    <x v="2"/>
    <n v="74"/>
    <s v="Subventions d'exploitation"/>
  </r>
  <r>
    <x v="1"/>
    <s v="BQ"/>
    <m/>
    <d v="2021-12-31T00:00:00"/>
    <s v="mairie Teuillac"/>
    <m/>
    <n v="1000"/>
    <m/>
    <n v="-13001.71"/>
    <s v="DT3"/>
    <x v="4"/>
    <s v="DASSOUTE TEUILLAC COLLEGE"/>
    <x v="4"/>
    <n v="748000"/>
    <n v="1000"/>
    <x v="1"/>
    <s v="Mairie de Teuillac"/>
    <x v="2"/>
    <n v="74"/>
    <s v="Subventions d'exploitation"/>
  </r>
  <r>
    <x v="1"/>
    <s v="BQ"/>
    <m/>
    <d v="2021-12-31T00:00:00"/>
    <s v="Cotisation individuelles et associatives"/>
    <m/>
    <n v="800"/>
    <m/>
    <n v="-12201.71"/>
    <s v="ADM"/>
    <x v="7"/>
    <s v="ADMINIST ET FONCT"/>
    <x v="7"/>
    <n v="758100"/>
    <n v="800"/>
    <x v="1"/>
    <s v="Cotisations individuelles et associatives"/>
    <x v="2"/>
    <n v="75"/>
    <s v="Autres produits de gestion courante"/>
  </r>
  <r>
    <x v="1"/>
    <s v="BQ"/>
    <m/>
    <d v="2021-12-31T00:00:00"/>
    <s v="Dons et autres à solliciter"/>
    <m/>
    <n v="100"/>
    <m/>
    <n v="-12101.71"/>
    <s v="ADM"/>
    <x v="7"/>
    <s v="ADMINIST ET FONCT"/>
    <x v="7"/>
    <n v="758100"/>
    <n v="100"/>
    <x v="1"/>
    <s v="Cotisations individuelles et associatives"/>
    <x v="2"/>
    <n v="75"/>
    <s v="Autres produits de gestion courante"/>
  </r>
  <r>
    <x v="1"/>
    <s v="BQ"/>
    <m/>
    <d v="2021-12-31T00:00:00"/>
    <s v="bénévolat gHM"/>
    <m/>
    <n v="4000"/>
    <m/>
    <n v="-8101.7099999999991"/>
    <s v="GHM"/>
    <x v="9"/>
    <s v="HYGIENE MENSTRUELLE"/>
    <x v="9"/>
    <n v="870000"/>
    <n v="4000"/>
    <x v="1"/>
    <s v="Bénévolat"/>
    <x v="2"/>
    <n v="87"/>
    <s v="Contributions volontaires"/>
  </r>
  <r>
    <x v="1"/>
    <s v="BQ"/>
    <m/>
    <d v="2021-12-31T00:00:00"/>
    <s v="Bénévolat + autres charges"/>
    <m/>
    <n v="8440"/>
    <m/>
    <n v="338.29000000000087"/>
    <s v="ADM"/>
    <x v="9"/>
    <s v="ADMINIST ET FONCT"/>
    <x v="9"/>
    <n v="870000"/>
    <n v="8440"/>
    <x v="1"/>
    <s v="Bénévolat"/>
    <x v="2"/>
    <n v="87"/>
    <s v="Contributions volontaires"/>
  </r>
  <r>
    <x v="0"/>
    <s v="BQ"/>
    <n v="1"/>
    <d v="2021-01-01T00:00:00"/>
    <s v="solde ouverture"/>
    <m/>
    <n v="338.29"/>
    <m/>
    <n v="338.29"/>
    <s v="GHM"/>
    <x v="0"/>
    <s v="HYGIENE MENSTRUELLE"/>
    <x v="0"/>
    <n v="512000"/>
    <n v="338.29"/>
    <x v="1"/>
    <s v="Banque"/>
    <x v="0"/>
    <n v="50"/>
    <s v="Trésorerie"/>
  </r>
  <r>
    <x v="0"/>
    <s v="BQ"/>
    <n v="1"/>
    <d v="2021-01-01T00:00:00"/>
    <s v="solde ouverture"/>
    <m/>
    <m/>
    <n v="30.319999999999993"/>
    <n v="307.97000000000003"/>
    <s v="GHM"/>
    <x v="6"/>
    <s v="HYGIENE MENSTRUELLE"/>
    <x v="6"/>
    <n v="606400"/>
    <n v="-30.319999999999993"/>
    <x v="1"/>
    <s v="Fournitures administratives"/>
    <x v="1"/>
    <n v="60"/>
    <s v="Achat"/>
  </r>
  <r>
    <x v="0"/>
    <s v="BQ"/>
    <n v="1"/>
    <d v="2021-01-11T00:00:00"/>
    <s v="Virement Madame clement"/>
    <s v="2A2D"/>
    <n v="20"/>
    <m/>
    <n v="327.97"/>
    <s v="ADM"/>
    <x v="4"/>
    <s v="ADMINIST ET FONCT"/>
    <x v="4"/>
    <n v="777100"/>
    <n v="20"/>
    <x v="1"/>
    <s v="Dons et autres mises à dispositions gratuites"/>
    <x v="2"/>
    <n v="77"/>
    <s v="Produits exceptionnels"/>
  </r>
  <r>
    <x v="0"/>
    <s v="BQ"/>
    <n v="2"/>
    <d v="2021-01-12T00:00:00"/>
    <s v="Remise de chèque adhésion"/>
    <s v="2A2D"/>
    <n v="180"/>
    <m/>
    <n v="507.97"/>
    <s v="ADM"/>
    <x v="7"/>
    <s v="ADMINIST ET FONCT"/>
    <x v="7"/>
    <n v="758100"/>
    <n v="180"/>
    <x v="1"/>
    <s v="Cotisations individuelles et associatives"/>
    <x v="2"/>
    <n v="75"/>
    <s v="Autres produits de gestion courante"/>
  </r>
  <r>
    <x v="0"/>
    <s v="BQ"/>
    <n v="3"/>
    <d v="2021-01-15T00:00:00"/>
    <s v="Remise de chèque adhésions"/>
    <s v="2A2D"/>
    <n v="50"/>
    <m/>
    <n v="557.97"/>
    <s v="ADM"/>
    <x v="7"/>
    <s v="ADMINIST ET FONCT"/>
    <x v="7"/>
    <n v="758100"/>
    <n v="50"/>
    <x v="1"/>
    <s v="Cotisations individuelles et associatives"/>
    <x v="2"/>
    <n v="75"/>
    <s v="Autres produits de gestion courante"/>
  </r>
  <r>
    <x v="0"/>
    <s v="BQ"/>
    <n v="4"/>
    <d v="2021-01-21T00:00:00"/>
    <s v="Chèque étude forage Togo NOKBAK"/>
    <s v="INGENIERIE"/>
    <n v="0"/>
    <n v="240"/>
    <n v="317.97000000000003"/>
    <s v="FN"/>
    <x v="8"/>
    <s v="FORAGE NOKBAK"/>
    <x v="8"/>
    <n v="604000"/>
    <n v="-240"/>
    <x v="1"/>
    <s v="Prestations de services (Hydrogéologue Nokbak)"/>
    <x v="1"/>
    <n v="60"/>
    <s v="Achat"/>
  </r>
  <r>
    <x v="0"/>
    <s v="BQ"/>
    <n v="5"/>
    <d v="2021-02-11T00:00:00"/>
    <s v="Virement Madame clement"/>
    <s v="2A2D"/>
    <n v="20"/>
    <m/>
    <n v="337.97"/>
    <s v="ADM"/>
    <x v="4"/>
    <s v="ADMINIST ET FONCT"/>
    <x v="4"/>
    <n v="777100"/>
    <n v="20"/>
    <x v="1"/>
    <s v="Dons et autres mises à dispositions gratuites"/>
    <x v="2"/>
    <n v="77"/>
    <s v="Produits exceptionnels"/>
  </r>
  <r>
    <x v="0"/>
    <s v="BQ"/>
    <n v="6"/>
    <d v="2021-03-02T00:00:00"/>
    <s v="Remise de chèque dons Teuillac"/>
    <s v="2A2D"/>
    <n v="1320"/>
    <m/>
    <n v="1657.97"/>
    <s v="DT2"/>
    <x v="4"/>
    <s v="DASSOUTE TEUILLAC CONST ECOLE"/>
    <x v="4"/>
    <n v="777100"/>
    <n v="1320"/>
    <x v="1"/>
    <s v="Dons et autres mises à dispositions gratuites"/>
    <x v="2"/>
    <n v="77"/>
    <s v="Produits exceptionnels"/>
  </r>
  <r>
    <x v="0"/>
    <s v="BQ"/>
    <n v="7"/>
    <d v="2021-03-11T00:00:00"/>
    <s v="Virement Madame clement"/>
    <s v="2A2D"/>
    <n v="20"/>
    <m/>
    <n v="1677.97"/>
    <s v="ADM"/>
    <x v="4"/>
    <s v="ADMINIST ET FONCT"/>
    <x v="4"/>
    <n v="777100"/>
    <n v="20"/>
    <x v="1"/>
    <s v="Dons et autres mises à dispositions gratuites"/>
    <x v="2"/>
    <n v="77"/>
    <s v="Produits exceptionnels"/>
  </r>
  <r>
    <x v="0"/>
    <s v="BQ"/>
    <n v="8"/>
    <d v="2021-03-26T00:00:00"/>
    <s v="Remise de chèque dons Teuillac"/>
    <s v="2A2D"/>
    <n v="380"/>
    <m/>
    <n v="2057.9700000000003"/>
    <s v="DT2"/>
    <x v="4"/>
    <s v="DASSOUTE TEUILLAC CONST ECOLE"/>
    <x v="4"/>
    <n v="777100"/>
    <n v="380"/>
    <x v="1"/>
    <s v="Dons et autres mises à dispositions gratuites"/>
    <x v="2"/>
    <n v="77"/>
    <s v="Produits exceptionnels"/>
  </r>
  <r>
    <x v="0"/>
    <s v="BQ"/>
    <n v="9"/>
    <d v="2021-04-07T00:00:00"/>
    <s v="Chèque Adhésion socop"/>
    <s v="socop"/>
    <n v="0"/>
    <n v="30"/>
    <n v="2027.9700000000003"/>
    <s v="ADM"/>
    <x v="1"/>
    <s v="ADMINIST ET FONCT"/>
    <x v="1"/>
    <n v="628100"/>
    <n v="-30"/>
    <x v="1"/>
    <s v="adhesion Hellasso"/>
    <x v="1"/>
    <n v="62"/>
    <s v="Autres services extérieurs"/>
  </r>
  <r>
    <x v="0"/>
    <s v="BQ"/>
    <n v="10"/>
    <d v="2021-04-12T00:00:00"/>
    <s v="Virement Madame clement"/>
    <s v="2A2D"/>
    <n v="20"/>
    <m/>
    <n v="2047.9700000000003"/>
    <s v="ADM"/>
    <x v="4"/>
    <s v="ADMINIST ET FONCT"/>
    <x v="4"/>
    <n v="777100"/>
    <n v="20"/>
    <x v="1"/>
    <s v="Dons et autres mises à dispositions gratuites"/>
    <x v="2"/>
    <n v="77"/>
    <s v="Produits exceptionnels"/>
  </r>
  <r>
    <x v="0"/>
    <s v="BQ"/>
    <n v="11"/>
    <d v="2021-05-11T00:00:00"/>
    <s v="Virement Madame clement"/>
    <s v="2A2D"/>
    <n v="20"/>
    <m/>
    <n v="2067.9700000000003"/>
    <s v="ADM"/>
    <x v="4"/>
    <s v="ADMINIST ET FONCT"/>
    <x v="4"/>
    <n v="777100"/>
    <n v="20"/>
    <x v="1"/>
    <s v="Dons et autres mises à dispositions gratuites"/>
    <x v="2"/>
    <n v="77"/>
    <s v="Produits exceptionnels"/>
  </r>
  <r>
    <x v="0"/>
    <s v="BQ"/>
    <n v="11"/>
    <d v="2021-05-18T00:00:00"/>
    <s v="Remise de chèque adhésions +dons"/>
    <s v="2A2D"/>
    <n v="20"/>
    <m/>
    <n v="2087.9700000000003"/>
    <s v="ADM"/>
    <x v="7"/>
    <s v="ADMINIST ET FONCT"/>
    <x v="7"/>
    <n v="758100"/>
    <n v="20"/>
    <x v="1"/>
    <s v="Cotisations individuelles et associatives"/>
    <x v="2"/>
    <n v="75"/>
    <s v="Autres produits de gestion courante"/>
  </r>
  <r>
    <x v="0"/>
    <s v="BQ"/>
    <n v="12"/>
    <d v="2021-05-18T00:00:00"/>
    <s v="Remise de chèque adhésions +dons"/>
    <s v="2A2D"/>
    <n v="35"/>
    <m/>
    <n v="2122.9700000000003"/>
    <s v="DT2"/>
    <x v="4"/>
    <s v="DASSOUTE TEUILLAC CONST ECOLE"/>
    <x v="4"/>
    <n v="777100"/>
    <n v="35"/>
    <x v="1"/>
    <s v="Dons et autres mises à dispositions gratuites"/>
    <x v="2"/>
    <n v="77"/>
    <s v="Produits exceptionnels"/>
  </r>
  <r>
    <x v="0"/>
    <s v="BQ"/>
    <n v="13"/>
    <d v="2021-05-20T00:00:00"/>
    <s v="Chèque fourn scol  et matériels"/>
    <s v="IDAAFE"/>
    <n v="0"/>
    <n v="1639.7"/>
    <n v="483.27000000000021"/>
    <s v="DT1F"/>
    <x v="20"/>
    <s v="DASSOUTE TEUILLAC FOURN SCOLAIRES"/>
    <x v="20"/>
    <n v="607100"/>
    <n v="-1639.7"/>
    <x v="1"/>
    <s v="Achats fournitures et matériels"/>
    <x v="1"/>
    <n v="60"/>
    <s v="Services extérieurs"/>
  </r>
  <r>
    <x v="0"/>
    <s v="BQ"/>
    <n v="14"/>
    <d v="2021-06-01T00:00:00"/>
    <s v="Remise de chèque dons Teuillac"/>
    <s v="2A2D"/>
    <n v="250"/>
    <m/>
    <n v="733.27000000000021"/>
    <s v="DT2"/>
    <x v="4"/>
    <s v="DASSOUTE TEUILLAC CONST ECOLE"/>
    <x v="4"/>
    <n v="777100"/>
    <n v="250"/>
    <x v="1"/>
    <s v="Dons et autres mises à dispositions gratuites"/>
    <x v="2"/>
    <n v="77"/>
    <s v="Produits exceptionnels"/>
  </r>
  <r>
    <x v="0"/>
    <s v="BQ"/>
    <n v="15"/>
    <d v="2021-06-01T00:00:00"/>
    <s v="Remise de chèque adhésions"/>
    <s v="2A2D"/>
    <n v="50"/>
    <m/>
    <n v="783.27000000000021"/>
    <s v="ADM"/>
    <x v="7"/>
    <s v="ADMINIST ET FONCT"/>
    <x v="7"/>
    <n v="758100"/>
    <n v="50"/>
    <x v="1"/>
    <s v="Cotisations individuelles et associatives"/>
    <x v="2"/>
    <n v="75"/>
    <s v="Autres produits de gestion courante"/>
  </r>
  <r>
    <x v="0"/>
    <s v="BQ"/>
    <n v="16"/>
    <d v="2021-06-11T00:00:00"/>
    <s v="Virement Madame clement"/>
    <s v="2A2D"/>
    <n v="20"/>
    <m/>
    <n v="803.27000000000021"/>
    <s v="ADM"/>
    <x v="4"/>
    <s v="ADMINIST ET FONCT"/>
    <x v="4"/>
    <n v="777100"/>
    <n v="20"/>
    <x v="1"/>
    <s v="Dons et autres mises à dispositions gratuites"/>
    <x v="2"/>
    <n v="77"/>
    <s v="Produits exceptionnels"/>
  </r>
  <r>
    <x v="0"/>
    <s v="BQ"/>
    <n v="17"/>
    <d v="2021-06-17T00:00:00"/>
    <s v="Chèque assurance RC"/>
    <s v="MAIF"/>
    <n v="0"/>
    <n v="96.09"/>
    <n v="707.18000000000018"/>
    <s v="ADM"/>
    <x v="5"/>
    <s v="ADMINIST ET FONCT"/>
    <x v="5"/>
    <n v="616000"/>
    <n v="-96.09"/>
    <x v="1"/>
    <s v="Primes d'assurance"/>
    <x v="1"/>
    <n v="61"/>
    <s v="Services extérieurs"/>
  </r>
  <r>
    <x v="0"/>
    <s v="BQ"/>
    <n v="18"/>
    <d v="2021-06-23T00:00:00"/>
    <s v="Remise de chèque dons Teuillac"/>
    <s v="2A2D"/>
    <n v="700"/>
    <m/>
    <n v="1407.1800000000003"/>
    <s v="DT2"/>
    <x v="4"/>
    <s v="DASSOUTE TEUILLAC CONST ECOLE"/>
    <x v="4"/>
    <n v="777100"/>
    <n v="700"/>
    <x v="1"/>
    <s v="Dons et autres mises à dispositions gratuites"/>
    <x v="2"/>
    <n v="77"/>
    <s v="Produits exceptionnels"/>
  </r>
  <r>
    <x v="0"/>
    <s v="BQ"/>
    <n v="19"/>
    <d v="2021-06-23T00:00:00"/>
    <s v="Remise de chèque dons Teuillac"/>
    <s v="2A2D"/>
    <n v="210"/>
    <m/>
    <n v="1617.1800000000003"/>
    <s v="DT2"/>
    <x v="4"/>
    <s v="DASSOUTE TEUILLAC CONST ECOLE"/>
    <x v="4"/>
    <n v="777100"/>
    <n v="210"/>
    <x v="1"/>
    <s v="Dons et autres mises à dispositions gratuites"/>
    <x v="2"/>
    <n v="77"/>
    <s v="Produits exceptionnels"/>
  </r>
  <r>
    <x v="0"/>
    <s v="BQ"/>
    <n v="20"/>
    <d v="2021-06-25T00:00:00"/>
    <s v="Chèque rbt frais envoi"/>
    <s v="NAMKA"/>
    <n v="0"/>
    <n v="20"/>
    <n v="1597.1800000000003"/>
    <s v="GHM"/>
    <x v="6"/>
    <s v="HYGIENE MENSTRUELLE"/>
    <x v="6"/>
    <n v="606400"/>
    <n v="-20"/>
    <x v="1"/>
    <s v="Fournitures administratives"/>
    <x v="1"/>
    <n v="60"/>
    <s v="Achat"/>
  </r>
  <r>
    <x v="0"/>
    <s v="BQ"/>
    <n v="21"/>
    <d v="2021-06-28T00:00:00"/>
    <s v="50% Region NA GHM"/>
    <s v="2A2D"/>
    <n v="5000"/>
    <m/>
    <n v="6597.18"/>
    <s v="GHM"/>
    <x v="24"/>
    <s v="HYGIENE MENSTRUELLE"/>
    <x v="24"/>
    <n v="741000"/>
    <n v="5000"/>
    <x v="1"/>
    <s v="Région Nouvelle-Aquitaine"/>
    <x v="2"/>
    <n v="74"/>
    <s v="Subventions d'exploitation"/>
  </r>
  <r>
    <x v="0"/>
    <s v="ESP"/>
    <n v="1"/>
    <d v="2021-11-02T00:00:00"/>
    <s v="Adhésion kirat"/>
    <s v="2A2D"/>
    <n v="10"/>
    <m/>
    <n v="6607.18"/>
    <s v="ADM"/>
    <x v="7"/>
    <s v="ADMINIST ET FONCT"/>
    <x v="7"/>
    <n v="758100"/>
    <n v="10"/>
    <x v="1"/>
    <s v="Cotisations individuelles et associatives"/>
    <x v="2"/>
    <n v="75"/>
    <s v="Autres produits de gestion courante"/>
  </r>
  <r>
    <x v="0"/>
    <s v="BQ"/>
    <n v="22"/>
    <d v="2021-07-04T00:00:00"/>
    <s v="Remise de chèque dons école"/>
    <s v="2A2D"/>
    <n v="110"/>
    <m/>
    <n v="6717.18"/>
    <s v="DT2"/>
    <x v="4"/>
    <s v="DASSOUTE TEUILLAC CONST ECOLE"/>
    <x v="4"/>
    <n v="777100"/>
    <n v="110"/>
    <x v="1"/>
    <s v="Dons et autres mises à dispositions gratuites"/>
    <x v="2"/>
    <n v="77"/>
    <s v="Produits exceptionnels"/>
  </r>
  <r>
    <x v="0"/>
    <s v="BQ"/>
    <n v="23"/>
    <d v="2021-07-08T00:00:00"/>
    <s v="Maif"/>
    <s v="2A2D"/>
    <n v="98.06"/>
    <m/>
    <n v="6815.2400000000007"/>
    <s v="ADM"/>
    <x v="5"/>
    <s v="ADMINIST ET FONCT"/>
    <x v="5"/>
    <n v="616000"/>
    <n v="98.06"/>
    <x v="1"/>
    <s v="Primes d'assurance"/>
    <x v="1"/>
    <n v="61"/>
    <s v="Services extérieurs"/>
  </r>
  <r>
    <x v="0"/>
    <s v="BQ"/>
    <n v="24"/>
    <d v="2021-07-08T00:00:00"/>
    <s v="Remise de chèque dons école"/>
    <s v="2A2D"/>
    <n v="599"/>
    <m/>
    <n v="7414.2400000000007"/>
    <s v="DT2"/>
    <x v="4"/>
    <s v="DASSOUTE TEUILLAC CONST ECOLE"/>
    <x v="4"/>
    <n v="777100"/>
    <n v="599"/>
    <x v="1"/>
    <s v="Dons et autres mises à dispositions gratuites"/>
    <x v="2"/>
    <n v="77"/>
    <s v="Produits exceptionnels"/>
  </r>
  <r>
    <x v="0"/>
    <s v="BQ"/>
    <n v="25"/>
    <d v="2021-07-08T00:00:00"/>
    <s v="Remise de chèque dons école"/>
    <s v="2A2D"/>
    <n v="350"/>
    <m/>
    <n v="7764.2400000000007"/>
    <s v="DT2"/>
    <x v="4"/>
    <s v="DASSOUTE TEUILLAC CONST ECOLE"/>
    <x v="4"/>
    <n v="777100"/>
    <n v="350"/>
    <x v="1"/>
    <s v="Dons et autres mises à dispositions gratuites"/>
    <x v="2"/>
    <n v="77"/>
    <s v="Produits exceptionnels"/>
  </r>
  <r>
    <x v="0"/>
    <s v="BQ"/>
    <n v="26"/>
    <d v="2021-07-07T00:00:00"/>
    <s v="Remise de chèque dons école"/>
    <s v="2A2D"/>
    <n v="260"/>
    <m/>
    <n v="8024.2400000000007"/>
    <s v="DT2"/>
    <x v="4"/>
    <s v="DASSOUTE TEUILLAC CONST ECOLE"/>
    <x v="4"/>
    <n v="777100"/>
    <n v="260"/>
    <x v="1"/>
    <s v="Dons et autres mises à dispositions gratuites"/>
    <x v="2"/>
    <n v="77"/>
    <s v="Produits exceptionnels"/>
  </r>
  <r>
    <x v="0"/>
    <s v="BQ"/>
    <n v="27"/>
    <d v="2021-07-12T00:00:00"/>
    <s v="Virement etranger IDAAFE construction"/>
    <s v="IDAAFE"/>
    <n v="0"/>
    <n v="2000"/>
    <n v="6024.2400000000007"/>
    <s v="DT2"/>
    <x v="18"/>
    <s v="DASSOUTE TEUILLAC CONST ECOLE"/>
    <x v="18"/>
    <n v="611000"/>
    <n v="-2000"/>
    <x v="1"/>
    <s v="Sous-traitance générale "/>
    <x v="1"/>
    <n v="61"/>
    <s v="Services extérieurs"/>
  </r>
  <r>
    <x v="0"/>
    <s v="BQ"/>
    <n v="28"/>
    <d v="2021-07-12T00:00:00"/>
    <s v="prelècement frais virement IDAAFE"/>
    <s v="CA"/>
    <n v="0"/>
    <n v="18.2"/>
    <n v="6006.0400000000009"/>
    <s v="DT2"/>
    <x v="25"/>
    <s v="DASSOUTE TEUILLAC CONST ECOLE"/>
    <x v="25"/>
    <n v="627000"/>
    <n v="-18.2"/>
    <x v="1"/>
    <s v="Frais bancaires"/>
    <x v="1"/>
    <n v="62"/>
    <s v="Autres services extérieurs"/>
  </r>
  <r>
    <x v="0"/>
    <s v="BQ"/>
    <n v="28"/>
    <d v="2021-07-16T00:00:00"/>
    <s v="Rejet Virement IDAAFE"/>
    <s v="2A2D"/>
    <m/>
    <n v="-2000"/>
    <n v="8006.0400000000009"/>
    <s v="DT2"/>
    <x v="18"/>
    <s v="DASSOUTE TEUILLAC CONST ECOLE"/>
    <x v="18"/>
    <n v="611000"/>
    <n v="2000"/>
    <x v="1"/>
    <s v="Sous-traitance générale "/>
    <x v="1"/>
    <n v="61"/>
    <s v="Services extérieurs"/>
  </r>
  <r>
    <x v="0"/>
    <s v="BQ"/>
    <n v="29"/>
    <d v="2021-07-16T00:00:00"/>
    <s v="Rejet Virement IDAAFE"/>
    <s v="2A2D"/>
    <m/>
    <n v="132.5"/>
    <n v="7873.5400000000009"/>
    <s v="DT2"/>
    <x v="25"/>
    <s v="DASSOUTE TEUILLAC CONST ECOLE"/>
    <x v="25"/>
    <n v="627000"/>
    <n v="-132.5"/>
    <x v="1"/>
    <s v="Frais bancaires"/>
    <x v="1"/>
    <n v="62"/>
    <s v="Autres services extérieurs"/>
  </r>
  <r>
    <x v="0"/>
    <s v="BQ"/>
    <n v="30"/>
    <d v="2021-07-16T00:00:00"/>
    <s v="prélèvement frais bancaires"/>
    <s v="CA"/>
    <m/>
    <n v="23.25"/>
    <n v="7850.2900000000009"/>
    <s v="DT2"/>
    <x v="25"/>
    <s v="DASSOUTE TEUILLAC CONST ECOLE"/>
    <x v="25"/>
    <n v="627000"/>
    <n v="-23.25"/>
    <x v="1"/>
    <s v="Frais bancaires"/>
    <x v="1"/>
    <n v="62"/>
    <s v="Autres services extérieurs"/>
  </r>
  <r>
    <x v="0"/>
    <s v="BQ"/>
    <n v="31"/>
    <d v="2021-07-18T00:00:00"/>
    <s v="Chèque envoi cartons livres collège"/>
    <s v="EZI"/>
    <m/>
    <n v="315.7"/>
    <n v="7534.5900000000011"/>
    <s v="DT3"/>
    <x v="26"/>
    <s v="DASSOUTE TEUILLAC COLLEGE"/>
    <x v="26"/>
    <n v="624000"/>
    <n v="-315.7"/>
    <x v="1"/>
    <s v="Transports"/>
    <x v="1"/>
    <n v="62"/>
    <s v="Charges de personnel"/>
  </r>
  <r>
    <x v="0"/>
    <s v="BQ"/>
    <n v="32"/>
    <d v="2021-07-18T00:00:00"/>
    <s v="Chèque matériaux const école"/>
    <s v="IDAAFE"/>
    <m/>
    <n v="1200"/>
    <n v="6334.5900000000011"/>
    <s v="DT2"/>
    <x v="19"/>
    <s v="DASSOUTE TEUILLAC CONST ECOLE"/>
    <x v="19"/>
    <n v="607000"/>
    <n v="-1200"/>
    <x v="1"/>
    <s v="Achats matériaux"/>
    <x v="1"/>
    <n v="60"/>
    <s v="Achat"/>
  </r>
  <r>
    <x v="0"/>
    <s v="BQ"/>
    <n v="33"/>
    <d v="2021-07-18T00:00:00"/>
    <s v="chèque matériaux construction"/>
    <s v="IDAAFE"/>
    <m/>
    <n v="17.7"/>
    <n v="6316.8900000000012"/>
    <s v="DT2"/>
    <x v="19"/>
    <s v="DASSOUTE TEUILLAC CONST ECOLE"/>
    <x v="19"/>
    <n v="607000"/>
    <n v="-17.7"/>
    <x v="1"/>
    <s v="Achats matériaux"/>
    <x v="1"/>
    <n v="60"/>
    <s v="Achat"/>
  </r>
  <r>
    <x v="0"/>
    <s v="BQ"/>
    <n v="34"/>
    <d v="2021-07-21T00:00:00"/>
    <s v="Comm transfert"/>
    <s v="CA"/>
    <m/>
    <n v="18.2"/>
    <n v="6298.6900000000014"/>
    <s v="GHM"/>
    <x v="25"/>
    <s v="HYGIENE MENSTRUELLE"/>
    <x v="25"/>
    <n v="627000"/>
    <n v="-18.2"/>
    <x v="1"/>
    <s v="Frais bancaires"/>
    <x v="1"/>
    <n v="62"/>
    <s v="Autres services extérieurs"/>
  </r>
  <r>
    <x v="0"/>
    <s v="BQ"/>
    <n v="35"/>
    <d v="2021-07-21T00:00:00"/>
    <s v="virt Initiative citoyenne"/>
    <s v="ICTDP"/>
    <m/>
    <n v="5000"/>
    <n v="1298.6900000000014"/>
    <s v="GHM"/>
    <x v="18"/>
    <s v="HYGIENE MENSTRUELLE"/>
    <x v="18"/>
    <n v="611000"/>
    <n v="-5000"/>
    <x v="1"/>
    <s v="Sous-traitance générale "/>
    <x v="1"/>
    <n v="61"/>
    <s v="Services extérieurs"/>
  </r>
  <r>
    <x v="0"/>
    <s v="BQ"/>
    <n v="36"/>
    <d v="2021-07-30T00:00:00"/>
    <s v="virt Guilde Européenne du Raid"/>
    <s v="2A2D"/>
    <n v="1333"/>
    <m/>
    <n v="2631.6900000000014"/>
    <s v="GHM"/>
    <x v="24"/>
    <s v="HYGIENE MENSTRUELLE"/>
    <x v="24"/>
    <n v="741000"/>
    <n v="1333"/>
    <x v="1"/>
    <s v="Région Nouvelle-Aquitaine"/>
    <x v="2"/>
    <n v="74"/>
    <s v="Subventions d'exploitation"/>
  </r>
  <r>
    <x v="0"/>
    <s v="BQ"/>
    <n v="37"/>
    <d v="2021-07-30T00:00:00"/>
    <s v="virt Guilde Européenne du Raid"/>
    <s v="2A2D"/>
    <n v="6667"/>
    <m/>
    <n v="9298.6900000000023"/>
    <s v="GHM"/>
    <x v="24"/>
    <s v="HYGIENE MENSTRUELLE"/>
    <x v="24"/>
    <n v="741000"/>
    <n v="6667"/>
    <x v="1"/>
    <s v="Région Nouvelle-Aquitaine"/>
    <x v="2"/>
    <n v="74"/>
    <s v="Subventions d'exploitation"/>
  </r>
  <r>
    <x v="0"/>
    <s v="BQ"/>
    <n v="37"/>
    <d v="2021-07-30T00:00:00"/>
    <s v="Chèque matériaux"/>
    <s v="IDAAFE"/>
    <m/>
    <n v="700"/>
    <n v="8598.6900000000023"/>
    <s v="DT2"/>
    <x v="19"/>
    <s v="DASSOUTE TEUILLAC CONST ECOLE"/>
    <x v="19"/>
    <n v="607000"/>
    <n v="-700"/>
    <x v="1"/>
    <s v="Achats matériaux"/>
    <x v="1"/>
    <n v="60"/>
    <s v="Achat"/>
  </r>
  <r>
    <x v="0"/>
    <s v="BQ"/>
    <n v="38"/>
    <d v="2021-07-30T00:00:00"/>
    <s v="Chèque matériaux"/>
    <s v="IDAAFE"/>
    <m/>
    <n v="9.8000000000000007"/>
    <n v="8588.8900000000031"/>
    <s v="DT2"/>
    <x v="25"/>
    <s v="DASSOUTE TEUILLAC CONST ECOLE"/>
    <x v="25"/>
    <n v="627000"/>
    <n v="-9.8000000000000007"/>
    <x v="1"/>
    <s v="Frais bancaires"/>
    <x v="1"/>
    <n v="62"/>
    <s v="Autres services extérieurs"/>
  </r>
  <r>
    <x v="0"/>
    <s v="BQ"/>
    <n v="39"/>
    <d v="2021-08-03T00:00:00"/>
    <s v="Remise cheques adhésions"/>
    <m/>
    <n v="100"/>
    <m/>
    <n v="8688.8900000000031"/>
    <s v="ADM"/>
    <x v="7"/>
    <s v="ADMINIST ET FONCT"/>
    <x v="7"/>
    <n v="758100"/>
    <n v="100"/>
    <x v="1"/>
    <s v="Cotisations individuelles et associatives"/>
    <x v="2"/>
    <n v="75"/>
    <s v="Autres produits de gestion courante"/>
  </r>
  <r>
    <x v="0"/>
    <s v="BQ"/>
    <n v="40"/>
    <d v="2021-08-18T00:00:00"/>
    <s v="Remise cheques dons école"/>
    <s v="2A2D"/>
    <n v="290"/>
    <m/>
    <n v="8978.8900000000031"/>
    <s v="DT2"/>
    <x v="4"/>
    <s v="DASSOUTE TEUILLAC CONST ECOLE"/>
    <x v="4"/>
    <n v="777100"/>
    <n v="290"/>
    <x v="1"/>
    <s v="Dons et autres mises à dispositions gratuites"/>
    <x v="2"/>
    <n v="77"/>
    <s v="Produits exceptionnels"/>
  </r>
  <r>
    <x v="0"/>
    <s v="BQ"/>
    <n v="41"/>
    <d v="2021-08-26T00:00:00"/>
    <s v="Chèque matériaux"/>
    <s v="IDAAFE"/>
    <m/>
    <n v="709.8"/>
    <n v="8269.0900000000038"/>
    <s v="DT2"/>
    <x v="19"/>
    <s v="DASSOUTE TEUILLAC CONST ECOLE"/>
    <x v="19"/>
    <n v="607000"/>
    <n v="-709.8"/>
    <x v="1"/>
    <s v="Achats matériaux"/>
    <x v="1"/>
    <n v="60"/>
    <s v="Achat"/>
  </r>
  <r>
    <x v="0"/>
    <s v="BQ"/>
    <n v="42"/>
    <d v="2021-08-27T00:00:00"/>
    <s v="Remise cheques dons école"/>
    <s v="2A2D"/>
    <n v="500"/>
    <m/>
    <n v="8769.0900000000038"/>
    <s v="DT2"/>
    <x v="4"/>
    <s v="DASSOUTE TEUILLAC CONST ECOLE"/>
    <x v="4"/>
    <n v="777100"/>
    <n v="500"/>
    <x v="1"/>
    <s v="Dons et autres mises à dispositions gratuites"/>
    <x v="2"/>
    <n v="77"/>
    <s v="Produits exceptionnels"/>
  </r>
  <r>
    <x v="0"/>
    <s v="BQ"/>
    <n v="43"/>
    <d v="2021-08-27T00:00:00"/>
    <s v="virement étranger HM"/>
    <s v="ICTDP"/>
    <m/>
    <n v="6000"/>
    <n v="2769.0900000000038"/>
    <s v="GHM"/>
    <x v="18"/>
    <s v="HYGIENE MENSTRUELLE"/>
    <x v="18"/>
    <n v="611000"/>
    <n v="-6000"/>
    <x v="1"/>
    <s v="Sous-traitance générale "/>
    <x v="1"/>
    <n v="61"/>
    <s v="Services extérieurs"/>
  </r>
  <r>
    <x v="0"/>
    <s v="BQ"/>
    <n v="44"/>
    <d v="2021-08-27T00:00:00"/>
    <s v="Frais bancaires"/>
    <s v="CA"/>
    <m/>
    <n v="18.2"/>
    <n v="2750.890000000004"/>
    <s v="GHM"/>
    <x v="25"/>
    <s v="HYGIENE MENSTRUELLE"/>
    <x v="25"/>
    <n v="627000"/>
    <n v="-18.2"/>
    <x v="1"/>
    <s v="Frais bancaires"/>
    <x v="1"/>
    <n v="62"/>
    <s v="Autres services extérieurs"/>
  </r>
  <r>
    <x v="0"/>
    <s v="BQ"/>
    <n v="45"/>
    <d v="2021-09-07T00:00:00"/>
    <s v="Remise cheques dons école"/>
    <s v="2A2D"/>
    <n v="1200"/>
    <m/>
    <n v="3950.890000000004"/>
    <s v="DT2"/>
    <x v="4"/>
    <s v="DASSOUTE TEUILLAC CONST ECOLE"/>
    <x v="4"/>
    <n v="777100"/>
    <n v="1200"/>
    <x v="1"/>
    <s v="Dons et autres mises à dispositions gratuites"/>
    <x v="2"/>
    <n v="77"/>
    <s v="Produits exceptionnels"/>
  </r>
  <r>
    <x v="0"/>
    <s v="BQ"/>
    <n v="46"/>
    <d v="2021-09-07T00:00:00"/>
    <s v="chèque construction école"/>
    <s v="IDAAFE"/>
    <m/>
    <n v="1065.7"/>
    <n v="2885.1900000000041"/>
    <s v="DT2"/>
    <x v="19"/>
    <s v="DASSOUTE TEUILLAC CONST ECOLE"/>
    <x v="19"/>
    <n v="607000"/>
    <n v="-1065.7"/>
    <x v="1"/>
    <s v="Achats matériaux"/>
    <x v="1"/>
    <n v="60"/>
    <s v="Achat"/>
  </r>
  <r>
    <x v="0"/>
    <s v="BQ"/>
    <n v="47"/>
    <d v="2021-09-14T00:00:00"/>
    <s v="chèque founrniture bureau"/>
    <s v="INTERMARCHE"/>
    <m/>
    <n v="15.4"/>
    <n v="2869.7900000000041"/>
    <s v="ADM"/>
    <x v="6"/>
    <s v="ADMINIST ET FONCT"/>
    <x v="6"/>
    <n v="606400"/>
    <n v="-15.4"/>
    <x v="1"/>
    <s v="Fournitures administratives"/>
    <x v="1"/>
    <n v="60"/>
    <s v="Achat"/>
  </r>
  <r>
    <x v="0"/>
    <s v="BQ"/>
    <n v="48"/>
    <d v="2021-09-14T00:00:00"/>
    <s v="chèque frais de téléphone"/>
    <s v="SOSH"/>
    <m/>
    <n v="391.24"/>
    <n v="2478.5500000000038"/>
    <s v="GHM"/>
    <x v="17"/>
    <s v="HYGIENE MENSTRUELLE"/>
    <x v="17"/>
    <n v="626200"/>
    <n v="-391.24"/>
    <x v="1"/>
    <s v="Frais de téléphone, fax et portables"/>
    <x v="1"/>
    <n v="62"/>
    <s v="Autres services extérieurs"/>
  </r>
  <r>
    <x v="0"/>
    <s v="BQ"/>
    <n v="49"/>
    <d v="2021-09-28T00:00:00"/>
    <s v="chèque fourniture association"/>
    <s v="CARREFOUR"/>
    <m/>
    <n v="109.79"/>
    <n v="2368.7600000000039"/>
    <s v="ADM"/>
    <x v="6"/>
    <s v="ADMINIST ET FONCT"/>
    <x v="6"/>
    <n v="606400"/>
    <n v="-109.79"/>
    <x v="1"/>
    <s v="Fournitures administratives"/>
    <x v="1"/>
    <n v="60"/>
    <s v="Achat"/>
  </r>
  <r>
    <x v="0"/>
    <s v="BQ"/>
    <n v="50"/>
    <d v="2021-09-30T00:00:00"/>
    <s v="Remise cheques dons école"/>
    <s v="2A2D"/>
    <n v="250"/>
    <m/>
    <n v="2618.7600000000039"/>
    <s v="DT2"/>
    <x v="4"/>
    <s v="DASSOUTE TEUILLAC CONST ECOLE"/>
    <x v="4"/>
    <n v="777100"/>
    <n v="250"/>
    <x v="1"/>
    <s v="Dons et autres mises à dispositions gratuites"/>
    <x v="2"/>
    <n v="77"/>
    <s v="Produits exceptionnels"/>
  </r>
  <r>
    <x v="0"/>
    <s v="BQ"/>
    <n v="51"/>
    <d v="2021-10-01T00:00:00"/>
    <s v="rbt voyage mission HM"/>
    <s v="M.FERILLOT"/>
    <m/>
    <n v="631.32000000000005"/>
    <n v="1987.4400000000037"/>
    <s v="GHM"/>
    <x v="27"/>
    <s v="HYGIENE MENSTRUELLE"/>
    <x v="27"/>
    <n v="625600"/>
    <n v="-631.32000000000005"/>
    <x v="1"/>
    <s v="Missions et manifestations"/>
    <x v="1"/>
    <n v="62"/>
    <s v="Autres services extérieurs"/>
  </r>
  <r>
    <x v="0"/>
    <s v="OD"/>
    <n v="52"/>
    <d v="2021-09-30T00:00:00"/>
    <s v="reclassement remises TEUILLAC"/>
    <s v="2A2D"/>
    <n v="1000"/>
    <m/>
    <n v="2987.4400000000037"/>
    <s v="DT1F"/>
    <x v="4"/>
    <s v="DASSOUTE TEUILLAC FOURN SCOLAIRES"/>
    <x v="4"/>
    <n v="777100"/>
    <n v="1000"/>
    <x v="1"/>
    <s v="Dons et autres mises à dispositions gratuites"/>
    <x v="2"/>
    <n v="77"/>
    <s v="Produits exceptionnels"/>
  </r>
  <r>
    <x v="0"/>
    <s v="OD"/>
    <n v="53"/>
    <d v="2021-09-30T00:00:00"/>
    <s v="reclassement remises TEUILLAC"/>
    <s v="2A2D"/>
    <n v="300"/>
    <m/>
    <n v="3287.4400000000037"/>
    <s v="DT3"/>
    <x v="4"/>
    <s v="DASSOUTE TEUILLAC COLLEGE"/>
    <x v="4"/>
    <n v="777100"/>
    <n v="300"/>
    <x v="1"/>
    <s v="Dons et autres mises à dispositions gratuites"/>
    <x v="2"/>
    <n v="77"/>
    <s v="Produits exceptionnels"/>
  </r>
  <r>
    <x v="0"/>
    <s v="OD"/>
    <n v="54"/>
    <d v="2021-09-30T00:00:00"/>
    <s v="reclassement remises TEUILLAC"/>
    <s v="2A2D"/>
    <n v="800"/>
    <m/>
    <n v="4087.4400000000037"/>
    <s v="DT1M"/>
    <x v="4"/>
    <s v="DASSOUTE TEUILLAC MARAICHAGE"/>
    <x v="4"/>
    <n v="777100"/>
    <n v="800"/>
    <x v="1"/>
    <s v="Dons et autres mises à dispositions gratuites"/>
    <x v="2"/>
    <n v="77"/>
    <s v="Produits exceptionnels"/>
  </r>
  <r>
    <x v="0"/>
    <s v="OD"/>
    <n v="55"/>
    <d v="2021-09-30T00:00:00"/>
    <s v="reclassement remises TEUILLAC"/>
    <s v="2A2D"/>
    <n v="-2100"/>
    <m/>
    <n v="1987.4400000000037"/>
    <s v="DT2"/>
    <x v="4"/>
    <s v="DASSOUTE TEUILLAC CONST ECOLE"/>
    <x v="4"/>
    <n v="777100"/>
    <n v="-2100"/>
    <x v="1"/>
    <s v="Dons et autres mises à dispositions gratuites"/>
    <x v="2"/>
    <n v="77"/>
    <s v="Produits exceptionnels"/>
  </r>
  <r>
    <x v="0"/>
    <s v="OD"/>
    <n v="56"/>
    <d v="2021-09-30T00:00:00"/>
    <s v="reclassement frais bancaires"/>
    <s v="CA"/>
    <m/>
    <n v="6.6"/>
    <n v="1980.8400000000038"/>
    <s v="DT1F"/>
    <x v="25"/>
    <s v="DASSOUTE TEUILLAC FOURN SCOLAIRES"/>
    <x v="25"/>
    <n v="627000"/>
    <n v="-6.6"/>
    <x v="1"/>
    <s v="Frais bancaires"/>
    <x v="1"/>
    <n v="62"/>
    <s v="Autres services extérieurs"/>
  </r>
  <r>
    <x v="0"/>
    <s v="OD"/>
    <n v="57"/>
    <d v="2021-09-30T00:00:00"/>
    <s v="reclassement frais bancaires"/>
    <s v="CA"/>
    <m/>
    <n v="5.8"/>
    <n v="1975.0400000000038"/>
    <s v="DT3"/>
    <x v="25"/>
    <s v="DASSOUTE TEUILLAC COLLEGE"/>
    <x v="25"/>
    <n v="627000"/>
    <n v="-5.8"/>
    <x v="1"/>
    <s v="Frais bancaires"/>
    <x v="1"/>
    <n v="62"/>
    <s v="Autres services extérieurs"/>
  </r>
  <r>
    <x v="0"/>
    <s v="OD"/>
    <n v="58"/>
    <d v="2021-09-30T00:00:00"/>
    <s v="reclassement frais bancaires"/>
    <s v="CA"/>
    <m/>
    <n v="5.2"/>
    <n v="1969.8400000000038"/>
    <s v="DT1M"/>
    <x v="25"/>
    <s v="DASSOUTE TEUILLAC MARAICHAGE"/>
    <x v="25"/>
    <n v="627000"/>
    <n v="-5.2"/>
    <x v="1"/>
    <s v="Frais bancaires"/>
    <x v="1"/>
    <n v="62"/>
    <s v="Autres services extérieurs"/>
  </r>
  <r>
    <x v="0"/>
    <s v="OD"/>
    <n v="59"/>
    <d v="2021-09-30T00:00:00"/>
    <s v="reclassement frais bancaires"/>
    <s v="CA"/>
    <m/>
    <n v="-17.599999999999998"/>
    <n v="1987.4400000000037"/>
    <s v="DT2"/>
    <x v="25"/>
    <s v="DASSOUTE TEUILLAC CONST ECOLE"/>
    <x v="25"/>
    <n v="627000"/>
    <n v="17.599999999999998"/>
    <x v="1"/>
    <s v="Frais bancaires"/>
    <x v="1"/>
    <n v="62"/>
    <s v="Autres services extérieurs"/>
  </r>
  <r>
    <x v="0"/>
    <s v="OD"/>
    <n v="59"/>
    <d v="2021-09-30T00:00:00"/>
    <s v="reclassement achats matériels"/>
    <s v="IDAAFE"/>
    <n v="0"/>
    <n v="785"/>
    <n v="1202.4400000000037"/>
    <s v="DT1M"/>
    <x v="20"/>
    <s v="DASSOUTE TEUILLAC MARAICHAGE"/>
    <x v="20"/>
    <n v="607100"/>
    <n v="-785"/>
    <x v="1"/>
    <s v="Achats fournitures et matériels"/>
    <x v="1"/>
    <n v="60"/>
    <s v="Services extérieurs"/>
  </r>
  <r>
    <x v="0"/>
    <s v="OD"/>
    <n v="60"/>
    <d v="2021-09-30T00:00:00"/>
    <s v="reclassement achats matériels"/>
    <s v="IDAAFE"/>
    <n v="0"/>
    <n v="-785"/>
    <n v="1987.4400000000037"/>
    <s v="DT1F"/>
    <x v="20"/>
    <s v="DASSOUTE TEUILLAC FOURN SCOLAIRES"/>
    <x v="20"/>
    <n v="607100"/>
    <n v="785"/>
    <x v="1"/>
    <s v="Achats fournitures et matériels"/>
    <x v="1"/>
    <n v="60"/>
    <s v="Services extérieurs"/>
  </r>
  <r>
    <x v="0"/>
    <s v="OD"/>
    <n v="60"/>
    <d v="2021-09-07T00:00:00"/>
    <s v="reclass chèque construction école"/>
    <s v="IDAAFE"/>
    <m/>
    <n v="-108"/>
    <n v="2095.4400000000037"/>
    <s v="DT2"/>
    <x v="19"/>
    <s v="DASSOUTE TEUILLAC CONST ECOLE"/>
    <x v="19"/>
    <n v="607000"/>
    <n v="108"/>
    <x v="1"/>
    <s v="Achats matériaux"/>
    <x v="1"/>
    <n v="60"/>
    <s v="Achat"/>
  </r>
  <r>
    <x v="0"/>
    <s v="OD"/>
    <n v="61"/>
    <d v="2021-09-07T00:00:00"/>
    <s v="reclass chèque construction école"/>
    <s v="IDAAFE"/>
    <m/>
    <n v="108"/>
    <n v="1987.4400000000037"/>
    <s v="DT1F"/>
    <x v="20"/>
    <s v="DASSOUTE TEUILLAC FOURN SCOLAIRES"/>
    <x v="20"/>
    <n v="607100"/>
    <n v="-108"/>
    <x v="1"/>
    <s v="Achats fournitures et matériels"/>
    <x v="1"/>
    <n v="60"/>
    <s v="Services extérieurs"/>
  </r>
  <r>
    <x v="0"/>
    <s v="BQ"/>
    <n v="4666904"/>
    <d v="2021-10-10T00:00:00"/>
    <s v="chèque adhésion savignol"/>
    <m/>
    <n v="50"/>
    <m/>
    <n v="2037.4400000000037"/>
    <s v="ADM"/>
    <x v="7"/>
    <s v="ADMINIST ET FONCT"/>
    <x v="7"/>
    <n v="758100"/>
    <n v="50"/>
    <x v="1"/>
    <s v="Cotisations individuelles et associatives"/>
    <x v="2"/>
    <n v="75"/>
    <s v="Autres produits de gestion courante"/>
  </r>
  <r>
    <x v="0"/>
    <s v="BQ"/>
    <n v="7141953"/>
    <d v="2021-10-10T00:00:00"/>
    <s v="Adhésion et don JPh LAFON"/>
    <m/>
    <n v="200"/>
    <m/>
    <n v="2237.4400000000037"/>
    <s v="ADM"/>
    <x v="7"/>
    <s v="ADMINIST ET FONCT"/>
    <x v="7"/>
    <n v="758100"/>
    <n v="200"/>
    <x v="1"/>
    <s v="Cotisations individuelles et associatives"/>
    <x v="2"/>
    <n v="75"/>
    <s v="Autres produits de gestion courante"/>
  </r>
  <r>
    <x v="0"/>
    <s v="BQ"/>
    <n v="1707"/>
    <d v="2021-10-11T00:00:00"/>
    <s v="Adhésion Fréderic LAFON"/>
    <m/>
    <n v="20"/>
    <m/>
    <n v="2257.4400000000037"/>
    <s v="ADM"/>
    <x v="7"/>
    <s v="ADMINIST ET FONCT"/>
    <x v="7"/>
    <n v="758100"/>
    <n v="20"/>
    <x v="1"/>
    <s v="Cotisations individuelles et associatives"/>
    <x v="2"/>
    <n v="75"/>
    <s v="Autres produits de gestion courante"/>
  </r>
  <r>
    <x v="0"/>
    <s v="BQ"/>
    <n v="651181"/>
    <d v="2021-10-11T00:00:00"/>
    <s v="Adhésion  Combarel"/>
    <m/>
    <n v="20"/>
    <m/>
    <n v="2277.4400000000037"/>
    <s v="ADM"/>
    <x v="7"/>
    <s v="ADMINIST ET FONCT"/>
    <x v="7"/>
    <n v="758100"/>
    <n v="20"/>
    <x v="1"/>
    <s v="Cotisations individuelles et associatives"/>
    <x v="2"/>
    <n v="75"/>
    <s v="Autres produits de gestion courante"/>
  </r>
  <r>
    <x v="0"/>
    <s v="BQ"/>
    <n v="1166"/>
    <d v="2021-10-11T00:00:00"/>
    <s v="Adhésion Pecassou"/>
    <m/>
    <n v="30"/>
    <m/>
    <n v="2307.4400000000037"/>
    <s v="ADM"/>
    <x v="7"/>
    <s v="ADMINIST ET FONCT"/>
    <x v="7"/>
    <n v="758100"/>
    <n v="30"/>
    <x v="1"/>
    <s v="Cotisations individuelles et associatives"/>
    <x v="2"/>
    <n v="75"/>
    <s v="Autres produits de gestion courante"/>
  </r>
  <r>
    <x v="0"/>
    <s v="BQ"/>
    <n v="44403"/>
    <d v="2021-10-11T00:00:00"/>
    <s v="adhésion et don Ferillot"/>
    <m/>
    <n v="700"/>
    <m/>
    <n v="3007.4400000000037"/>
    <s v="ADM"/>
    <x v="7"/>
    <s v="ADMINIST ET FONCT"/>
    <x v="7"/>
    <n v="758100"/>
    <n v="700"/>
    <x v="1"/>
    <s v="Cotisations individuelles et associatives"/>
    <x v="2"/>
    <n v="75"/>
    <s v="Autres produits de gestion courante"/>
  </r>
  <r>
    <x v="0"/>
    <s v="BQ"/>
    <m/>
    <d v="2021-10-12T00:00:00"/>
    <s v="Rembourssement Ecole"/>
    <m/>
    <m/>
    <n v="200"/>
    <n v="2807.4400000000037"/>
    <s v="DT2"/>
    <x v="20"/>
    <s v="DASSOUTE TEUILLAC CONST ECOLE"/>
    <x v="20"/>
    <n v="607100"/>
    <n v="-200"/>
    <x v="1"/>
    <s v="Achats fournitures et matériels"/>
    <x v="1"/>
    <n v="60"/>
    <s v="Services extérieurs"/>
  </r>
  <r>
    <x v="0"/>
    <s v="BQ"/>
    <m/>
    <d v="2021-10-12T00:00:00"/>
    <s v="Frais d'envoi"/>
    <m/>
    <m/>
    <n v="3.9"/>
    <n v="2803.5400000000036"/>
    <s v="DT2"/>
    <x v="25"/>
    <s v="DASSOUTE TEUILLAC CONST ECOLE"/>
    <x v="25"/>
    <n v="627000"/>
    <n v="-3.9"/>
    <x v="1"/>
    <s v="Frais bancaires"/>
    <x v="1"/>
    <n v="62"/>
    <s v="Autres services extérieurs"/>
  </r>
  <r>
    <x v="0"/>
    <s v="BQ"/>
    <m/>
    <d v="2021-10-20T00:00:00"/>
    <s v="Rembourssement Ecole"/>
    <m/>
    <m/>
    <n v="350"/>
    <n v="2453.5400000000036"/>
    <s v="DT2"/>
    <x v="20"/>
    <s v="DASSOUTE TEUILLAC CONST ECOLE"/>
    <x v="20"/>
    <n v="607100"/>
    <n v="-350"/>
    <x v="1"/>
    <s v="Achats fournitures et matériels"/>
    <x v="1"/>
    <n v="60"/>
    <s v="Services extérieurs"/>
  </r>
  <r>
    <x v="0"/>
    <s v="BQ"/>
    <m/>
    <d v="2021-10-20T00:00:00"/>
    <s v="Frais d'envoi"/>
    <m/>
    <m/>
    <n v="5.4"/>
    <n v="2448.1400000000035"/>
    <s v="DT2"/>
    <x v="25"/>
    <s v="DASSOUTE TEUILLAC CONST ECOLE"/>
    <x v="25"/>
    <n v="627000"/>
    <n v="-5.4"/>
    <x v="1"/>
    <s v="Frais bancaires"/>
    <x v="1"/>
    <n v="62"/>
    <s v="Autres services extérieurs"/>
  </r>
  <r>
    <x v="0"/>
    <s v="BQ"/>
    <n v="675349"/>
    <d v="2021-10-28T00:00:00"/>
    <s v="Remb, mission cordi togo"/>
    <s v="NAMKA"/>
    <m/>
    <n v="707.32"/>
    <n v="1740.8200000000033"/>
    <s v="GHM"/>
    <x v="27"/>
    <s v="HYGIENE MENSTRUELLE"/>
    <x v="27"/>
    <n v="625600"/>
    <n v="-707.32"/>
    <x v="1"/>
    <s v="Missions et manifestations"/>
    <x v="1"/>
    <n v="62"/>
    <s v="Autres services extérieurs"/>
  </r>
  <r>
    <x v="0"/>
    <s v="BQ"/>
    <m/>
    <d v="2021-11-01T00:00:00"/>
    <s v="Frais céreminie école"/>
    <m/>
    <m/>
    <n v="200"/>
    <n v="1540.8200000000033"/>
    <s v="DT2"/>
    <x v="20"/>
    <s v="DASSOUTE TEUILLAC CONST ECOLE"/>
    <x v="20"/>
    <n v="607100"/>
    <n v="-200"/>
    <x v="1"/>
    <s v="Achats fournitures et matériels"/>
    <x v="1"/>
    <n v="60"/>
    <s v="Services extérieurs"/>
  </r>
  <r>
    <x v="0"/>
    <s v="BQ"/>
    <m/>
    <d v="2021-11-01T00:00:00"/>
    <s v="Frais d'envoi"/>
    <m/>
    <m/>
    <n v="3.9"/>
    <n v="1536.9200000000033"/>
    <s v="DT2"/>
    <x v="25"/>
    <s v="DASSOUTE TEUILLAC CONST ECOLE"/>
    <x v="25"/>
    <n v="627000"/>
    <n v="-3.9"/>
    <x v="1"/>
    <s v="Frais bancaires"/>
    <x v="1"/>
    <n v="62"/>
    <s v="Autres services extérieurs"/>
  </r>
  <r>
    <x v="0"/>
    <s v="BQ"/>
    <n v="675350"/>
    <d v="2021-11-06T00:00:00"/>
    <s v="Encre imprimante"/>
    <m/>
    <m/>
    <n v="26"/>
    <n v="1510.9200000000033"/>
    <s v="ADM"/>
    <x v="6"/>
    <s v="ADMINIST ET FONCT"/>
    <x v="6"/>
    <n v="606400"/>
    <n v="-26"/>
    <x v="1"/>
    <s v="Fournitures administratives"/>
    <x v="1"/>
    <n v="60"/>
    <s v="Achat"/>
  </r>
  <r>
    <x v="0"/>
    <s v="BQ"/>
    <n v="675351"/>
    <d v="2021-11-07T00:00:00"/>
    <s v="Achat de 7 mangues repas Togolais"/>
    <s v="earl le jardin"/>
    <m/>
    <n v="24.5"/>
    <n v="1486.4200000000033"/>
    <s v="DT5"/>
    <x v="28"/>
    <s v="DASSOUTE TEUILLAC CANTINE"/>
    <x v="28"/>
    <n v="606800"/>
    <n v="-24.5"/>
    <x v="1"/>
    <s v="Autres matières et fournitures"/>
    <x v="1"/>
    <n v="60"/>
    <s v="Achat"/>
  </r>
  <r>
    <x v="0"/>
    <s v="BQ"/>
    <s v="200598017A"/>
    <d v="2021-11-09T00:00:00"/>
    <s v="Adhésion Evelyne lafon"/>
    <m/>
    <n v="30"/>
    <m/>
    <n v="1516.4200000000033"/>
    <s v="ADM"/>
    <x v="7"/>
    <s v="ADMINIST ET FONCT"/>
    <x v="7"/>
    <n v="758100"/>
    <n v="30"/>
    <x v="1"/>
    <s v="Cotisations individuelles et associatives"/>
    <x v="2"/>
    <n v="75"/>
    <s v="Autres produits de gestion courante"/>
  </r>
  <r>
    <x v="0"/>
    <s v="BQ"/>
    <s v="200584033C"/>
    <d v="2021-11-09T00:00:00"/>
    <s v="Adhésion MESPLE isabelle"/>
    <m/>
    <n v="50"/>
    <m/>
    <n v="1566.4200000000033"/>
    <s v="ADM"/>
    <x v="7"/>
    <s v="ADMINIST ET FONCT"/>
    <x v="7"/>
    <n v="758100"/>
    <n v="50"/>
    <x v="1"/>
    <s v="Cotisations individuelles et associatives"/>
    <x v="2"/>
    <n v="75"/>
    <s v="Autres produits de gestion courante"/>
  </r>
  <r>
    <x v="0"/>
    <s v="BQ"/>
    <n v="573419"/>
    <d v="2021-11-09T00:00:00"/>
    <s v="Ahésion  BOUYER Muriel"/>
    <m/>
    <n v="50"/>
    <m/>
    <n v="1616.4200000000033"/>
    <s v="ADM"/>
    <x v="7"/>
    <s v="ADMINIST ET FONCT"/>
    <x v="7"/>
    <n v="758100"/>
    <n v="50"/>
    <x v="1"/>
    <s v="Cotisations individuelles et associatives"/>
    <x v="2"/>
    <n v="75"/>
    <s v="Autres produits de gestion courante"/>
  </r>
  <r>
    <x v="0"/>
    <s v="BQ"/>
    <n v="1500"/>
    <d v="2021-11-11T00:00:00"/>
    <s v="Adhésion Alain PONS et Martine G."/>
    <m/>
    <n v="40"/>
    <m/>
    <n v="1656.4200000000033"/>
    <s v="ADM"/>
    <x v="7"/>
    <s v="ADMINIST ET FONCT"/>
    <x v="7"/>
    <n v="758100"/>
    <n v="40"/>
    <x v="1"/>
    <s v="Cotisations individuelles et associatives"/>
    <x v="2"/>
    <n v="75"/>
    <s v="Autres produits de gestion courante"/>
  </r>
  <r>
    <x v="0"/>
    <s v="BQ"/>
    <n v="3208664"/>
    <d v="2021-11-11T00:00:00"/>
    <s v="Don Teuillac Francoise BESSET"/>
    <m/>
    <n v="80"/>
    <m/>
    <n v="1736.4200000000033"/>
    <s v="DT2"/>
    <x v="4"/>
    <s v="DASSOUTE TEUILLAC CONST ECOLE"/>
    <x v="4"/>
    <n v="777100"/>
    <n v="80"/>
    <x v="1"/>
    <s v="Dons et autres mises à dispositions gratuites"/>
    <x v="2"/>
    <n v="77"/>
    <s v="Produits exceptionnels"/>
  </r>
  <r>
    <x v="0"/>
    <s v="BQ"/>
    <n v="428"/>
    <d v="2021-11-11T00:00:00"/>
    <s v="Don Teuillac PITON Jacques"/>
    <m/>
    <n v="50"/>
    <m/>
    <n v="1786.4200000000033"/>
    <s v="DT2"/>
    <x v="4"/>
    <s v="DASSOUTE TEUILLAC CONST ECOLE"/>
    <x v="4"/>
    <n v="777100"/>
    <n v="50"/>
    <x v="1"/>
    <s v="Dons et autres mises à dispositions gratuites"/>
    <x v="2"/>
    <n v="77"/>
    <s v="Produits exceptionnels"/>
  </r>
  <r>
    <x v="0"/>
    <s v="BQ"/>
    <n v="32238"/>
    <d v="2021-11-11T00:00:00"/>
    <s v="Don Teuillac HERREBOUDT Michele"/>
    <m/>
    <n v="50"/>
    <m/>
    <n v="1836.4200000000033"/>
    <s v="DT2"/>
    <x v="4"/>
    <s v="DASSOUTE TEUILLAC CONST ECOLE"/>
    <x v="4"/>
    <n v="777100"/>
    <n v="50"/>
    <x v="1"/>
    <s v="Dons et autres mises à dispositions gratuites"/>
    <x v="2"/>
    <n v="77"/>
    <s v="Produits exceptionnels"/>
  </r>
  <r>
    <x v="0"/>
    <s v="BQ"/>
    <n v="343"/>
    <d v="2021-11-12T00:00:00"/>
    <s v="Frais hydraugéoloque Nokbak?"/>
    <s v="AZOTE"/>
    <m/>
    <n v="250"/>
    <n v="1586.4200000000033"/>
    <s v="GHM"/>
    <x v="27"/>
    <s v="HYGIENE MENSTRUELLE"/>
    <x v="27"/>
    <n v="625600"/>
    <n v="-250"/>
    <x v="1"/>
    <s v="Missions et manifestations"/>
    <x v="1"/>
    <n v="62"/>
    <s v="Autres services extérieurs"/>
  </r>
  <r>
    <x v="0"/>
    <s v="BQ"/>
    <n v="5928618"/>
    <d v="2021-11-19T00:00:00"/>
    <s v="Don MARTINEZ Leonicio (cantine)"/>
    <s v="2A2D"/>
    <n v="500"/>
    <m/>
    <n v="2086.4200000000033"/>
    <s v="DT2"/>
    <x v="4"/>
    <s v="DASSOUTE TEUILLAC CONST ECOLE"/>
    <x v="4"/>
    <n v="777100"/>
    <n v="500"/>
    <x v="1"/>
    <s v="Dons et autres mises à dispositions gratuites"/>
    <x v="2"/>
    <n v="77"/>
    <s v="Produits exceptionnels"/>
  </r>
  <r>
    <x v="0"/>
    <s v="BQ"/>
    <n v="890538"/>
    <d v="2021-11-10T00:00:00"/>
    <s v="Don Jean jacquesARROUARD (Cantine)"/>
    <s v="2A2D"/>
    <n v="30"/>
    <m/>
    <n v="2116.4200000000033"/>
    <s v="DT2"/>
    <x v="4"/>
    <s v="DASSOUTE TEUILLAC CONST ECOLE"/>
    <x v="4"/>
    <n v="777100"/>
    <n v="30"/>
    <x v="1"/>
    <s v="Dons et autres mises à dispositions gratuites"/>
    <x v="2"/>
    <n v="77"/>
    <s v="Produits exceptionnels"/>
  </r>
  <r>
    <x v="0"/>
    <s v="BQ"/>
    <n v="675355"/>
    <d v="2021-11-22T00:00:00"/>
    <s v="Communication -internet 2A2D Oct"/>
    <s v="NAMKA"/>
    <m/>
    <n v="46.59"/>
    <n v="2069.8300000000031"/>
    <s v="GHM"/>
    <x v="6"/>
    <s v="HYGIENE MENSTRUELLE"/>
    <x v="6"/>
    <n v="606400"/>
    <n v="-46.59"/>
    <x v="1"/>
    <s v="Fournitures administratives"/>
    <x v="1"/>
    <n v="60"/>
    <s v="Achat"/>
  </r>
  <r>
    <x v="0"/>
    <s v="BQ"/>
    <n v="675353"/>
    <d v="2021-11-17T00:00:00"/>
    <s v="Communication -internet 2A2D Nov"/>
    <s v="NAMKA"/>
    <m/>
    <n v="66.64"/>
    <n v="2003.190000000003"/>
    <s v="GHM"/>
    <x v="6"/>
    <s v="HYGIENE MENSTRUELLE"/>
    <x v="6"/>
    <n v="606400"/>
    <n v="-66.64"/>
    <x v="1"/>
    <s v="Fournitures administratives"/>
    <x v="1"/>
    <n v="60"/>
    <s v="Achat"/>
  </r>
  <r>
    <x v="0"/>
    <s v="BQ"/>
    <s v="675353-2556"/>
    <d v="2021-11-17T00:00:00"/>
    <s v="Rembourssement Achat mangue repas togolais"/>
    <s v="lidl"/>
    <m/>
    <n v="11.92"/>
    <n v="1991.2700000000029"/>
    <s v="DT5"/>
    <x v="28"/>
    <s v="DASSOUTE TEUILLAC CANTINE"/>
    <x v="28"/>
    <n v="606800"/>
    <n v="-11.92"/>
    <x v="1"/>
    <s v="Autres matières et fournitures"/>
    <x v="1"/>
    <n v="60"/>
    <s v="Achat"/>
  </r>
  <r>
    <x v="0"/>
    <s v="BQ"/>
    <n v="675356"/>
    <d v="2021-12-02T00:00:00"/>
    <s v="MAIF 2022"/>
    <s v="MAIF"/>
    <m/>
    <n v="111.67"/>
    <n v="1879.6000000000029"/>
    <s v="ADM"/>
    <x v="5"/>
    <s v="ADMINIST ET FONCT"/>
    <x v="5"/>
    <n v="616000"/>
    <n v="-111.67"/>
    <x v="1"/>
    <s v="Primes d'assurance"/>
    <x v="1"/>
    <n v="61"/>
    <s v="Services extérieurs"/>
  </r>
  <r>
    <x v="0"/>
    <s v="BQ"/>
    <n v="3075941"/>
    <d v="2021-12-01T00:00:00"/>
    <s v="Courses alimentaires Repas Togolais"/>
    <s v="African food"/>
    <m/>
    <n v="80.94"/>
    <n v="1798.6600000000028"/>
    <s v="DT5"/>
    <x v="28"/>
    <s v="DASSOUTE TEUILLAC CANTINE"/>
    <x v="28"/>
    <n v="606800"/>
    <n v="-80.94"/>
    <x v="1"/>
    <s v="Autres matières et fournitures"/>
    <x v="1"/>
    <n v="60"/>
    <s v="Achat"/>
  </r>
  <r>
    <x v="0"/>
    <s v="BQ"/>
    <n v="88293"/>
    <d v="2021-11-26T00:00:00"/>
    <s v="Courses alimentaires Repas Togolais"/>
    <s v="Vival "/>
    <m/>
    <n v="65.45"/>
    <n v="1733.2100000000028"/>
    <s v="DT5"/>
    <x v="28"/>
    <s v="DASSOUTE TEUILLAC CANTINE"/>
    <x v="28"/>
    <n v="606800"/>
    <n v="-65.45"/>
    <x v="1"/>
    <s v="Autres matières et fournitures"/>
    <x v="1"/>
    <n v="60"/>
    <s v="Achat"/>
  </r>
  <r>
    <x v="0"/>
    <s v="BQ"/>
    <n v="13430816220"/>
    <d v="2021-12-09T00:00:00"/>
    <s v="Courses alimentaires Repas Togolais"/>
    <s v="Intermarché"/>
    <m/>
    <n v="163.77000000000001"/>
    <n v="1569.4400000000028"/>
    <s v="DT5"/>
    <x v="28"/>
    <s v="DASSOUTE TEUILLAC CANTINE"/>
    <x v="28"/>
    <n v="606800"/>
    <n v="-163.77000000000001"/>
    <x v="1"/>
    <s v="Autres matières et fournitures"/>
    <x v="1"/>
    <n v="60"/>
    <s v="Achat"/>
  </r>
  <r>
    <x v="0"/>
    <s v="BQ"/>
    <n v="260447"/>
    <d v="2021-12-10T00:00:00"/>
    <s v="Courses repas Togolais"/>
    <s v="Intermarché"/>
    <m/>
    <n v="153.81"/>
    <n v="1415.6300000000028"/>
    <s v="DT5"/>
    <x v="28"/>
    <s v="DASSOUTE TEUILLAC CANTINE"/>
    <x v="28"/>
    <n v="606800"/>
    <n v="-153.81"/>
    <x v="1"/>
    <s v="Autres matières et fournitures"/>
    <x v="1"/>
    <n v="60"/>
    <s v="Achat"/>
  </r>
  <r>
    <x v="0"/>
    <s v="BQ"/>
    <n v="675360"/>
    <d v="2021-12-13T00:00:00"/>
    <s v="Noél ecole de DASSOUTE "/>
    <s v="PONS/WESTERN"/>
    <m/>
    <n v="315.89999999999998"/>
    <n v="1099.7300000000027"/>
    <s v="DT5"/>
    <x v="18"/>
    <s v="DASSOUTE TEUILLAC CANTINE"/>
    <x v="18"/>
    <n v="611000"/>
    <n v="-315.89999999999998"/>
    <x v="1"/>
    <s v="Sous-traitance générale "/>
    <x v="1"/>
    <n v="61"/>
    <s v="Services extérieurs"/>
  </r>
  <r>
    <x v="0"/>
    <s v="BQ"/>
    <n v="675363"/>
    <d v="2021-12-13T00:00:00"/>
    <s v="Frais d'expédition gourdes, sacs- collège"/>
    <s v="NELTRANS"/>
    <m/>
    <n v="300"/>
    <n v="799.73000000000275"/>
    <s v="DT2"/>
    <x v="26"/>
    <s v="DASSOUTE TEUILLAC CONST ECOLE"/>
    <x v="26"/>
    <n v="624000"/>
    <n v="-300"/>
    <x v="1"/>
    <s v="Transports"/>
    <x v="1"/>
    <n v="62"/>
    <s v="Charges de personnel"/>
  </r>
  <r>
    <x v="0"/>
    <s v="BQ"/>
    <n v="675364"/>
    <d v="2021-12-13T00:00:00"/>
    <s v="Frais d'inauguration école de dassoute"/>
    <s v="PONS/WESTERN"/>
    <m/>
    <n v="81.900000000000006"/>
    <n v="717.83000000000277"/>
    <s v="DT3"/>
    <x v="18"/>
    <s v="DASSOUTE TEUILLAC COLLEGE"/>
    <x v="18"/>
    <n v="611000"/>
    <n v="-81.900000000000006"/>
    <x v="1"/>
    <s v="Sous-traitance générale "/>
    <x v="1"/>
    <n v="61"/>
    <s v="Services extérieurs"/>
  </r>
  <r>
    <x v="0"/>
    <s v="BQ"/>
    <n v="3298655"/>
    <d v="2021-11-09T00:00:00"/>
    <s v="Repas PITON JACQUES"/>
    <s v="2A2D"/>
    <n v="60"/>
    <m/>
    <n v="777.83000000000277"/>
    <s v="DT5"/>
    <x v="4"/>
    <s v="DASSOUTE TEUILLAC CANTINE"/>
    <x v="4"/>
    <n v="777100"/>
    <n v="60"/>
    <x v="1"/>
    <s v="Dons et autres mises à dispositions gratuites"/>
    <x v="2"/>
    <n v="77"/>
    <s v="Produits exceptionnels"/>
  </r>
  <r>
    <x v="0"/>
    <s v="BQ"/>
    <n v="536283"/>
    <d v="2021-11-19T00:00:00"/>
    <s v="Repas Anaud jannick"/>
    <s v="2A2D"/>
    <n v="60"/>
    <m/>
    <n v="837.83000000000277"/>
    <s v="DT5"/>
    <x v="4"/>
    <s v="DASSOUTE TEUILLAC CANTINE"/>
    <x v="4"/>
    <n v="777100"/>
    <n v="60"/>
    <x v="1"/>
    <s v="Dons et autres mises à dispositions gratuites"/>
    <x v="2"/>
    <n v="77"/>
    <s v="Produits exceptionnels"/>
  </r>
  <r>
    <x v="0"/>
    <s v="BQ"/>
    <n v="310862"/>
    <d v="2021-11-09T00:00:00"/>
    <s v="Repas Bernos Michel"/>
    <s v="2A2D"/>
    <n v="40"/>
    <m/>
    <n v="877.8300000000027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8905383"/>
    <d v="2021-11-10T00:00:00"/>
    <s v="Repas Jacques ARROUARD"/>
    <s v="2A2D"/>
    <n v="40"/>
    <m/>
    <n v="917.8300000000027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992"/>
    <d v="2021-11-09T00:00:00"/>
    <s v="Repas Michel BOST"/>
    <s v="2A2D"/>
    <n v="40"/>
    <m/>
    <n v="957.8300000000027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44"/>
    <d v="2021-11-10T00:00:00"/>
    <s v="REPAS ALAIN KIRAT"/>
    <s v="2A2D"/>
    <n v="40"/>
    <m/>
    <n v="997.8300000000027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963"/>
    <d v="2021-11-12T00:00:00"/>
    <s v="Repas BESSET LOUIS"/>
    <s v="2A2D"/>
    <n v="40"/>
    <m/>
    <n v="1037.830000000002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5928616"/>
    <d v="2021-11-18T00:00:00"/>
    <s v="Repas Martinez LEONICIO"/>
    <s v="2A2D"/>
    <n v="40"/>
    <m/>
    <n v="1077.830000000002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2827293"/>
    <d v="2021-11-22T00:00:00"/>
    <s v="Repas PAUVIF FRANCK"/>
    <s v="2A2D"/>
    <n v="40"/>
    <m/>
    <n v="1117.830000000002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991815"/>
    <d v="2021-12-04T00:00:00"/>
    <s v="Repas PAUVIF PAUL"/>
    <s v="2A2D"/>
    <n v="40"/>
    <m/>
    <n v="1157.830000000002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2309"/>
    <d v="2021-12-12T00:00:00"/>
    <s v="Repas CHADOUTAUD"/>
    <s v="2A2D"/>
    <n v="40"/>
    <m/>
    <n v="1197.830000000002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3849"/>
    <d v="2021-12-12T00:00:00"/>
    <s v="Repas Thenadey"/>
    <s v="2A2D"/>
    <n v="40"/>
    <m/>
    <n v="1237.8300000000027"/>
    <s v="DT5"/>
    <x v="4"/>
    <s v="DASSOUTE TEUILLAC CANTINE"/>
    <x v="4"/>
    <n v="777100"/>
    <n v="40"/>
    <x v="1"/>
    <s v="Dons et autres mises à dispositions gratuites"/>
    <x v="2"/>
    <n v="77"/>
    <s v="Produits exceptionnels"/>
  </r>
  <r>
    <x v="0"/>
    <s v="BQ"/>
    <n v="1498"/>
    <d v="2021-11-05T00:00:00"/>
    <s v="Repas PONS"/>
    <s v="2A2D"/>
    <n v="20"/>
    <m/>
    <n v="125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1499"/>
    <d v="2021-11-05T00:00:00"/>
    <s v="Repas PONS 2"/>
    <s v="2A2D"/>
    <n v="20"/>
    <m/>
    <n v="127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377"/>
    <d v="2021-11-10T00:00:00"/>
    <s v="Repas GARANTO"/>
    <s v="2A2D"/>
    <n v="20"/>
    <m/>
    <n v="129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7773636"/>
    <d v="2021-11-10T00:00:00"/>
    <s v="Repas lucette JASMIN"/>
    <s v="2A2D"/>
    <n v="20"/>
    <m/>
    <n v="131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3271233"/>
    <d v="2021-11-12T00:00:00"/>
    <s v="Repas LEBO"/>
    <s v="2A2D"/>
    <n v="20"/>
    <m/>
    <n v="133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44407"/>
    <d v="2021-11-16T00:00:00"/>
    <s v="Repas FERILLOT"/>
    <s v="2A2D"/>
    <n v="20"/>
    <m/>
    <n v="135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6337920"/>
    <d v="2021-11-17T00:00:00"/>
    <s v="Repas ROCUET"/>
    <s v="2A2D"/>
    <n v="20"/>
    <m/>
    <n v="137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4835893"/>
    <d v="2021-11-21T00:00:00"/>
    <s v="Repas BELOUGNE"/>
    <s v="2A2D"/>
    <n v="20"/>
    <m/>
    <n v="139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454666"/>
    <d v="2021-11-30T00:00:00"/>
    <s v="Repas GENTET"/>
    <s v="2A2D"/>
    <n v="20"/>
    <m/>
    <n v="141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3063534"/>
    <d v="2021-12-06T00:00:00"/>
    <s v="Repas MESNARD MARINIER"/>
    <s v="2A2D"/>
    <n v="20"/>
    <m/>
    <n v="143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233"/>
    <d v="2021-12-01T00:00:00"/>
    <s v="Repas ROMAT"/>
    <s v="2A2D"/>
    <n v="20"/>
    <m/>
    <n v="145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7141963"/>
    <d v="2021-12-11T00:00:00"/>
    <s v="Repas LAFON JPh"/>
    <s v="2A2D"/>
    <n v="20"/>
    <m/>
    <n v="147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2310"/>
    <d v="2021-12-12T00:00:00"/>
    <s v="Don cantine CHADOUTAUD"/>
    <s v="2A2D"/>
    <n v="20"/>
    <m/>
    <n v="149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536294"/>
    <d v="2021-12-12T00:00:00"/>
    <s v="Don cantine ARNAUD JANNICK"/>
    <s v="2A2D"/>
    <n v="100"/>
    <m/>
    <n v="1597.8300000000027"/>
    <s v="DT5"/>
    <x v="4"/>
    <s v="DASSOUTE TEUILLAC CANTINE"/>
    <x v="4"/>
    <n v="777100"/>
    <n v="100"/>
    <x v="1"/>
    <s v="Dons et autres mises à dispositions gratuites"/>
    <x v="2"/>
    <n v="77"/>
    <s v="Produits exceptionnels"/>
  </r>
  <r>
    <x v="0"/>
    <s v="BQ"/>
    <n v="3063533"/>
    <d v="2021-12-06T00:00:00"/>
    <s v="Don cantine MESNARD"/>
    <s v="2A2D"/>
    <n v="100"/>
    <m/>
    <n v="1697.8300000000027"/>
    <s v="DT5"/>
    <x v="4"/>
    <s v="DASSOUTE TEUILLAC CANTINE"/>
    <x v="4"/>
    <n v="777100"/>
    <n v="100"/>
    <x v="1"/>
    <s v="Dons et autres mises à dispositions gratuites"/>
    <x v="2"/>
    <n v="77"/>
    <s v="Produits exceptionnels"/>
  </r>
  <r>
    <x v="0"/>
    <s v="BQ"/>
    <n v="4835896"/>
    <d v="2021-12-12T00:00:00"/>
    <s v="Don cantine BELOUGNE"/>
    <s v="2A2D"/>
    <n v="50"/>
    <m/>
    <n v="1747.8300000000027"/>
    <s v="DT5"/>
    <x v="4"/>
    <s v="DASSOUTE TEUILLAC CANTINE"/>
    <x v="4"/>
    <n v="777100"/>
    <n v="50"/>
    <x v="1"/>
    <s v="Dons et autres mises à dispositions gratuites"/>
    <x v="2"/>
    <n v="77"/>
    <s v="Produits exceptionnels"/>
  </r>
  <r>
    <x v="0"/>
    <s v="BQ"/>
    <n v="991812"/>
    <d v="2021-11-29T00:00:00"/>
    <s v="Don cantine PAUVIF PAUL"/>
    <s v="2A2D"/>
    <n v="50"/>
    <m/>
    <n v="1797.8300000000027"/>
    <s v="DT5"/>
    <x v="4"/>
    <s v="DASSOUTE TEUILLAC CANTINE"/>
    <x v="4"/>
    <n v="777100"/>
    <n v="50"/>
    <x v="1"/>
    <s v="Dons et autres mises à dispositions gratuites"/>
    <x v="2"/>
    <n v="77"/>
    <s v="Produits exceptionnels"/>
  </r>
  <r>
    <x v="0"/>
    <s v="BQ"/>
    <n v="2954363"/>
    <d v="2021-12-05T00:00:00"/>
    <s v="Don cantine RIOS PAULETTE"/>
    <s v="2A2D"/>
    <n v="20"/>
    <m/>
    <n v="1817.8300000000027"/>
    <s v="DT5"/>
    <x v="4"/>
    <s v="DASSOUTE TEUILLAC CANTINE"/>
    <x v="4"/>
    <n v="777100"/>
    <n v="20"/>
    <x v="1"/>
    <s v="Dons et autres mises à dispositions gratuites"/>
    <x v="2"/>
    <n v="77"/>
    <s v="Produits exceptionnels"/>
  </r>
  <r>
    <x v="0"/>
    <s v="BQ"/>
    <n v="2954363"/>
    <d v="2021-12-05T00:00:00"/>
    <s v="Don cantine XX"/>
    <s v="2A2D"/>
    <n v="30"/>
    <m/>
    <n v="1847.8300000000027"/>
    <s v="DT5"/>
    <x v="4"/>
    <s v="DASSOUTE TEUILLAC CANTINE"/>
    <x v="4"/>
    <n v="777100"/>
    <n v="30"/>
    <x v="1"/>
    <s v="Dons et autres mises à dispositions gratuites"/>
    <x v="2"/>
    <n v="77"/>
    <s v="Produits exceptionnels"/>
  </r>
  <r>
    <x v="0"/>
    <s v="ESP"/>
    <m/>
    <d v="2021-12-12T00:00:00"/>
    <s v="Don cantine XX"/>
    <s v="2A2D"/>
    <n v="240"/>
    <m/>
    <n v="2087.8300000000027"/>
    <s v="DT5"/>
    <x v="4"/>
    <s v="DASSOUTE TEUILLAC CANTINE"/>
    <x v="4"/>
    <n v="777100"/>
    <n v="240"/>
    <x v="1"/>
    <s v="Dons et autres mises à dispositions gratuites"/>
    <x v="2"/>
    <n v="77"/>
    <s v="Produits exceptionnels"/>
  </r>
  <r>
    <x v="0"/>
    <s v="BQ"/>
    <m/>
    <d v="2021-12-20T00:00:00"/>
    <s v="REMISE ESPECES"/>
    <s v="2A2D"/>
    <n v="250"/>
    <m/>
    <n v="2337.8300000000027"/>
    <s v="ADM"/>
    <x v="0"/>
    <s v="ADMINIST ET FONCT"/>
    <x v="0"/>
    <n v="512000"/>
    <n v="250"/>
    <x v="1"/>
    <s v="Banque"/>
    <x v="0"/>
    <n v="50"/>
    <s v="Trésorerie"/>
  </r>
  <r>
    <x v="0"/>
    <s v="ESP"/>
    <m/>
    <d v="2021-12-20T00:00:00"/>
    <s v="REMISE ESPECES"/>
    <s v="2A2D"/>
    <m/>
    <n v="250"/>
    <n v="2087.8300000000027"/>
    <s v="ADM"/>
    <x v="29"/>
    <s v="ADMINIST ET FONCT"/>
    <x v="29"/>
    <n v="530000"/>
    <n v="-250"/>
    <x v="1"/>
    <s v="Caisse"/>
    <x v="0"/>
    <n v="50"/>
    <s v="Trésorerie"/>
  </r>
  <r>
    <x v="0"/>
    <s v="BQ"/>
    <m/>
    <d v="2021-11-30T00:00:00"/>
    <s v="PRELEVEMENT             _x000a_FACTURE 11/2021 N°2133400084474 "/>
    <s v="2A2D"/>
    <m/>
    <n v="3.8"/>
    <n v="2084.0300000000025"/>
    <s v="ADM"/>
    <x v="25"/>
    <s v="ADMINIST ET FONCT"/>
    <x v="25"/>
    <n v="627000"/>
    <n v="-3.8"/>
    <x v="1"/>
    <s v="Frais bancaires"/>
    <x v="1"/>
    <n v="62"/>
    <s v="Autres services extérieurs"/>
  </r>
  <r>
    <x v="0"/>
    <s v="OD"/>
    <n v="1"/>
    <d v="2021-12-31T00:00:00"/>
    <s v="reclassement frais bilan DASSOUTE"/>
    <m/>
    <n v="0"/>
    <n v="-159.19999999999999"/>
    <n v="2243.2300000000023"/>
    <s v="DT2"/>
    <x v="19"/>
    <s v="DASSOUTE TEUILLAC CONST ECOLE"/>
    <x v="19"/>
    <n v="607000"/>
    <n v="159.19999999999999"/>
    <x v="1"/>
    <s v="Achats matériaux"/>
    <x v="1"/>
    <n v="60"/>
    <s v="Achat"/>
  </r>
  <r>
    <x v="0"/>
    <s v="OD"/>
    <n v="1"/>
    <d v="2021-12-31T00:00:00"/>
    <s v="reclassement frais bilan DASSOUTE"/>
    <m/>
    <m/>
    <n v="7.3"/>
    <n v="2235.9300000000021"/>
    <s v="DT1F"/>
    <x v="19"/>
    <s v="DASSOUTE TEUILLAC FOURN SCOLAIRES"/>
    <x v="19"/>
    <n v="607000"/>
    <n v="-7.3"/>
    <x v="1"/>
    <s v="Achats matériaux"/>
    <x v="1"/>
    <n v="60"/>
    <s v="Achat"/>
  </r>
  <r>
    <x v="0"/>
    <s v="OD"/>
    <n v="2"/>
    <d v="2021-12-31T00:00:00"/>
    <s v="reclassement frais bilan DASSOUTE"/>
    <m/>
    <m/>
    <n v="151.89999999999998"/>
    <n v="2084.030000000002"/>
    <s v="DT3"/>
    <x v="19"/>
    <s v="DASSOUTE TEUILLAC COLLEGE"/>
    <x v="19"/>
    <n v="607000"/>
    <n v="-151.89999999999998"/>
    <x v="1"/>
    <s v="Achats matériaux"/>
    <x v="1"/>
    <n v="60"/>
    <s v="Achat"/>
  </r>
  <r>
    <x v="0"/>
    <s v="OD"/>
    <m/>
    <d v="2021-12-31T00:00:00"/>
    <s v="Don gourdes collège"/>
    <s v="2A2D"/>
    <n v="6602"/>
    <m/>
    <n v="8686.0300000000025"/>
    <s v="DT3"/>
    <x v="10"/>
    <s v="DASSOUTE TEUILLAC COLLEGE"/>
    <x v="10"/>
    <n v="871000"/>
    <n v="6602"/>
    <x v="1"/>
    <s v="Prestations en nature"/>
    <x v="2"/>
    <n v="87"/>
    <s v="Contributions volontaires"/>
  </r>
  <r>
    <x v="0"/>
    <s v="OD"/>
    <m/>
    <d v="2021-12-31T00:00:00"/>
    <s v="Don gourdes collège"/>
    <s v="2A2D"/>
    <m/>
    <n v="6602"/>
    <n v="2084.0300000000025"/>
    <s v="DT3"/>
    <x v="11"/>
    <s v="DASSOUTE TEUILLAC COLLEGE"/>
    <x v="11"/>
    <n v="862000"/>
    <n v="-6602"/>
    <x v="1"/>
    <s v="Prestations"/>
    <x v="1"/>
    <n v="86"/>
    <s v="Emplois des contributions volontaires"/>
  </r>
  <r>
    <x v="0"/>
    <s v="BQ"/>
    <m/>
    <d v="2021-12-31T00:00:00"/>
    <s v="bénévolat gHM"/>
    <m/>
    <n v="4000"/>
    <m/>
    <n v="6084.0300000000025"/>
    <s v="GHM"/>
    <x v="9"/>
    <s v="HYGIENE MENSTRUELLE"/>
    <x v="9"/>
    <n v="870000"/>
    <n v="4000"/>
    <x v="1"/>
    <s v="Bénévolat"/>
    <x v="2"/>
    <n v="87"/>
    <s v="Contributions volontaires"/>
  </r>
  <r>
    <x v="0"/>
    <s v="BQ"/>
    <m/>
    <d v="2021-12-31T00:00:00"/>
    <s v="Bénévolat + autres charges"/>
    <m/>
    <n v="8440"/>
    <m/>
    <n v="14524.030000000002"/>
    <s v="ADM"/>
    <x v="9"/>
    <s v="ADMINIST ET FONCT"/>
    <x v="9"/>
    <n v="870000"/>
    <n v="8440"/>
    <x v="1"/>
    <s v="Bénévolat"/>
    <x v="2"/>
    <n v="87"/>
    <s v="Contributions volontaires"/>
  </r>
  <r>
    <x v="0"/>
    <s v="BQ"/>
    <m/>
    <d v="2021-12-31T00:00:00"/>
    <s v="bénévolat GHM"/>
    <m/>
    <m/>
    <n v="4000"/>
    <n v="10524.030000000002"/>
    <s v="GHM"/>
    <x v="12"/>
    <s v="HYGIENE MENSTRUELLE"/>
    <x v="12"/>
    <n v="864000"/>
    <n v="-4000"/>
    <x v="1"/>
    <s v="Personnels bénévoles"/>
    <x v="1"/>
    <n v="86"/>
    <s v="Contributions volontaires"/>
  </r>
  <r>
    <x v="0"/>
    <s v="BQ"/>
    <m/>
    <d v="2021-12-31T00:00:00"/>
    <s v=" bénévolat+ AUTRES CHARGES"/>
    <m/>
    <m/>
    <n v="8440"/>
    <n v="2084.0300000000025"/>
    <s v="ADM"/>
    <x v="12"/>
    <s v="ADMINIST ET FONCT"/>
    <x v="12"/>
    <n v="864000"/>
    <n v="-8440"/>
    <x v="1"/>
    <s v="Personnels bénévoles"/>
    <x v="1"/>
    <n v="86"/>
    <s v="Contributions volontaires"/>
  </r>
  <r>
    <x v="1"/>
    <s v="BQ"/>
    <m/>
    <d v="2022-01-01T00:00:00"/>
    <s v="solde ouverture"/>
    <m/>
    <n v="1399.0499999999995"/>
    <m/>
    <n v="1399.0499999999995"/>
    <s v="ADM"/>
    <x v="0"/>
    <s v="ADMINIST ET FONCT"/>
    <x v="0"/>
    <n v="512000"/>
    <n v="1399.0499999999995"/>
    <x v="2"/>
    <s v="Banque"/>
    <x v="0"/>
    <n v="50"/>
    <s v="Trésorerie"/>
  </r>
  <r>
    <x v="1"/>
    <s v="BQ"/>
    <m/>
    <d v="2022-01-01T00:00:00"/>
    <s v="solde ouverture"/>
    <m/>
    <n v="-179.82999999999947"/>
    <m/>
    <n v="1219.22"/>
    <s v="GHM"/>
    <x v="0"/>
    <s v="HYGIENE MENSTRUELLE"/>
    <x v="0"/>
    <n v="512000"/>
    <n v="-179.82999999999947"/>
    <x v="2"/>
    <s v="Banque"/>
    <x v="0"/>
    <n v="50"/>
    <s v="Trésorerie"/>
  </r>
  <r>
    <x v="1"/>
    <s v="BQ"/>
    <m/>
    <d v="2022-01-01T00:00:00"/>
    <s v="solde ouverture"/>
    <m/>
    <n v="740.26000000000022"/>
    <m/>
    <n v="1959.4800000000002"/>
    <s v="DT3"/>
    <x v="0"/>
    <s v="DASSOUTE TEUILLAC COLLEGE"/>
    <x v="0"/>
    <n v="512000"/>
    <n v="740.26000000000022"/>
    <x v="2"/>
    <s v="Banque"/>
    <x v="0"/>
    <n v="50"/>
    <s v="Trésorerie"/>
  </r>
  <r>
    <x v="1"/>
    <s v="BQ"/>
    <m/>
    <d v="2022-12-31T00:00:00"/>
    <s v="reprise assurance 2022"/>
    <m/>
    <m/>
    <n v="100"/>
    <n v="1299.0499999999995"/>
    <s v="ADM"/>
    <x v="13"/>
    <s v="ADMINIST ET FONCT"/>
    <x v="13"/>
    <n v="602200"/>
    <n v="-100"/>
    <x v="2"/>
    <s v="Fournitures de bureau et consommables"/>
    <x v="1"/>
    <n v="60"/>
    <s v="Achat"/>
  </r>
  <r>
    <x v="1"/>
    <s v="BQ"/>
    <m/>
    <d v="2022-12-31T00:00:00"/>
    <s v="reprise assurance 2022"/>
    <m/>
    <n v="124.55"/>
    <m/>
    <n v="1343.77"/>
    <s v="ADM"/>
    <x v="30"/>
    <s v="ADMINIST ET FONCT"/>
    <x v="30"/>
    <n v="486000"/>
    <n v="124.55"/>
    <x v="2"/>
    <s v="Charges constatées d'avance"/>
    <x v="0"/>
    <n v="48"/>
    <s v="CCA"/>
  </r>
  <r>
    <x v="1"/>
    <s v="BQ"/>
    <m/>
    <d v="2022-12-31T00:00:00"/>
    <s v=" Fournitures de bureau et consommables"/>
    <m/>
    <m/>
    <n v="124.55"/>
    <n v="1834.9300000000003"/>
    <s v="ADM"/>
    <x v="5"/>
    <s v="ADMINIST ET FONCT"/>
    <x v="5"/>
    <n v="616000"/>
    <n v="-124.55"/>
    <x v="2"/>
    <s v="Primes d'assurance"/>
    <x v="1"/>
    <n v="61"/>
    <s v="Services extérieurs"/>
  </r>
  <r>
    <x v="1"/>
    <s v="BQ"/>
    <m/>
    <d v="2022-12-31T00:00:00"/>
    <s v="Fournitures administratives"/>
    <m/>
    <m/>
    <n v="100"/>
    <n v="1734.9300000000003"/>
    <s v="ADM"/>
    <x v="6"/>
    <s v="ADMINIST ET FONCT"/>
    <x v="6"/>
    <n v="606400"/>
    <n v="-100"/>
    <x v="2"/>
    <s v="Fournitures administratives"/>
    <x v="1"/>
    <n v="60"/>
    <s v="Achat"/>
  </r>
  <r>
    <x v="1"/>
    <s v="BQ"/>
    <m/>
    <d v="2022-12-31T00:00:00"/>
    <s v="Primes d'assurance"/>
    <m/>
    <m/>
    <n v="5.4500000000000028"/>
    <n v="1729.4800000000002"/>
    <s v="ADM"/>
    <x v="5"/>
    <s v="ADMINIST ET FONCT"/>
    <x v="5"/>
    <n v="616000"/>
    <n v="-5.4500000000000028"/>
    <x v="2"/>
    <s v="Primes d'assurance"/>
    <x v="1"/>
    <n v="61"/>
    <s v="Services extérieurs"/>
  </r>
  <r>
    <x v="1"/>
    <s v="BQ"/>
    <m/>
    <d v="2022-12-31T00:00:00"/>
    <s v="Documentation générale"/>
    <m/>
    <m/>
    <n v="50"/>
    <n v="1679.4800000000002"/>
    <s v="ADM"/>
    <x v="14"/>
    <s v="ADMINIST ET FONCT"/>
    <x v="14"/>
    <n v="618100"/>
    <n v="-50"/>
    <x v="2"/>
    <s v="Documentation générale"/>
    <x v="1"/>
    <n v="61"/>
    <s v="Autres services extérieurs"/>
  </r>
  <r>
    <x v="1"/>
    <s v="BQ"/>
    <m/>
    <d v="2022-12-31T00:00:00"/>
    <s v="Publicité, publications, relation publiques"/>
    <m/>
    <m/>
    <n v="50"/>
    <n v="1629.4800000000002"/>
    <s v="ADM"/>
    <x v="15"/>
    <s v="ADMINIST ET FONCT"/>
    <x v="15"/>
    <n v="623000"/>
    <n v="-50"/>
    <x v="2"/>
    <s v="Publicité, publications, Création de site web"/>
    <x v="1"/>
    <n v="62"/>
    <s v="Autres services extérieurs"/>
  </r>
  <r>
    <x v="1"/>
    <s v="BQ"/>
    <m/>
    <d v="2022-12-31T00:00:00"/>
    <s v="Déplacements, missions et réceptions"/>
    <m/>
    <m/>
    <n v="800"/>
    <n v="829.48000000000025"/>
    <s v="ADM"/>
    <x v="16"/>
    <s v="ADMINIST ET FONCT"/>
    <x v="16"/>
    <n v="625000"/>
    <n v="-800"/>
    <x v="2"/>
    <s v="Déplacements, missions et réceptions"/>
    <x v="1"/>
    <n v="62"/>
    <s v="Autres services extérieurs"/>
  </r>
  <r>
    <x v="1"/>
    <s v="BQ"/>
    <m/>
    <d v="2022-12-31T00:00:00"/>
    <s v="Frais postaux et de télécommunications"/>
    <m/>
    <m/>
    <n v="90"/>
    <n v="739.48000000000025"/>
    <s v="ADM"/>
    <x v="2"/>
    <s v="ADMINIST ET FONCT"/>
    <x v="2"/>
    <n v="626100"/>
    <n v="-90"/>
    <x v="2"/>
    <s v="Frais postaux"/>
    <x v="1"/>
    <n v="62"/>
    <s v="Autres services extérieurs"/>
  </r>
  <r>
    <x v="1"/>
    <s v="BQ"/>
    <m/>
    <d v="2022-12-31T00:00:00"/>
    <s v="Frais de téléphone, fax et portable"/>
    <m/>
    <m/>
    <n v="120"/>
    <n v="619.48000000000025"/>
    <s v="ADM"/>
    <x v="17"/>
    <s v="ADMINIST ET FONCT"/>
    <x v="17"/>
    <n v="626200"/>
    <n v="-120"/>
    <x v="2"/>
    <s v="Frais de téléphone, fax et portables"/>
    <x v="1"/>
    <n v="62"/>
    <s v="Autres services extérieurs"/>
  </r>
  <r>
    <x v="1"/>
    <s v="BQ"/>
    <m/>
    <d v="2022-12-31T00:00:00"/>
    <s v="Cotisation extérieures"/>
    <m/>
    <m/>
    <n v="200"/>
    <n v="419.48000000000025"/>
    <s v="ADM"/>
    <x v="1"/>
    <s v="ADMINIST ET FONCT"/>
    <x v="1"/>
    <n v="628100"/>
    <n v="-200"/>
    <x v="2"/>
    <s v="adhesion Hellasso"/>
    <x v="1"/>
    <n v="62"/>
    <s v="Autres services extérieurs"/>
  </r>
  <r>
    <x v="1"/>
    <s v="BQ"/>
    <m/>
    <d v="2022-12-31T00:00:00"/>
    <s v="Lomé GH Menstruelle"/>
    <m/>
    <m/>
    <n v="8100"/>
    <n v="-7680.5199999999995"/>
    <s v="GHM"/>
    <x v="18"/>
    <s v="HYGIENE MENSTRUELLE"/>
    <x v="18"/>
    <n v="611000"/>
    <n v="-8100"/>
    <x v="2"/>
    <s v="Sous-traitance générale "/>
    <x v="1"/>
    <n v="61"/>
    <s v="Services extérieurs"/>
  </r>
  <r>
    <x v="1"/>
    <s v="BQ"/>
    <m/>
    <d v="2022-12-31T00:00:00"/>
    <s v="Lomé GH Menstruelle"/>
    <m/>
    <m/>
    <n v="609"/>
    <n v="-8289.52"/>
    <s v="GHM"/>
    <x v="28"/>
    <s v="HYGIENE MENSTRUELLE"/>
    <x v="28"/>
    <n v="606800"/>
    <n v="-609"/>
    <x v="2"/>
    <s v="Autres matières et fournitures"/>
    <x v="1"/>
    <n v="60"/>
    <s v="Achat"/>
  </r>
  <r>
    <x v="1"/>
    <s v="BQ"/>
    <m/>
    <d v="2022-12-31T00:00:00"/>
    <s v="Lomé GH Menstruelle"/>
    <m/>
    <m/>
    <n v="1411"/>
    <n v="-9700.52"/>
    <s v="GHM"/>
    <x v="16"/>
    <s v="HYGIENE MENSTRUELLE"/>
    <x v="16"/>
    <n v="625000"/>
    <n v="-1411"/>
    <x v="2"/>
    <s v="Déplacements, missions et réceptions"/>
    <x v="1"/>
    <n v="62"/>
    <s v="Autres services extérieurs"/>
  </r>
  <r>
    <x v="1"/>
    <s v="BQ"/>
    <m/>
    <d v="2022-12-31T00:00:00"/>
    <s v="Lomé GH Menstruelle"/>
    <m/>
    <m/>
    <n v="500"/>
    <n v="-10200.52"/>
    <s v="GHM"/>
    <x v="31"/>
    <s v="HYGIENE MENSTRUELLE"/>
    <x v="31"/>
    <n v="628000"/>
    <n v="-500"/>
    <x v="2"/>
    <s v="Divers"/>
    <x v="1"/>
    <n v="62"/>
    <s v="Autres services extérieurs"/>
  </r>
  <r>
    <x v="1"/>
    <s v="BQ"/>
    <m/>
    <d v="2022-12-31T00:00:00"/>
    <s v="Collège Dassoute Teuillac"/>
    <m/>
    <n v="3700"/>
    <m/>
    <n v="-6500.52"/>
    <s v="DT3"/>
    <x v="4"/>
    <s v="DASSOUTE TEUILLAC COLLEGE"/>
    <x v="4"/>
    <n v="777100"/>
    <n v="3700"/>
    <x v="2"/>
    <s v="Dons et autres mises à dispositions gratuites"/>
    <x v="2"/>
    <n v="77"/>
    <s v="Produits exceptionnels"/>
  </r>
  <r>
    <x v="1"/>
    <s v="BQ"/>
    <m/>
    <d v="2022-12-31T00:00:00"/>
    <s v="Collège Dassoute Teuillac"/>
    <m/>
    <m/>
    <n v="3000"/>
    <n v="-9500.52"/>
    <s v="DT3"/>
    <x v="19"/>
    <s v="DASSOUTE TEUILLAC COLLEGE"/>
    <x v="19"/>
    <n v="607000"/>
    <n v="-3000"/>
    <x v="2"/>
    <s v="Achats matériaux"/>
    <x v="1"/>
    <n v="60"/>
    <s v="Achat"/>
  </r>
  <r>
    <x v="1"/>
    <s v="BQ"/>
    <m/>
    <d v="2022-12-31T00:00:00"/>
    <s v="Collège Dassoute Teuillac"/>
    <m/>
    <m/>
    <n v="500"/>
    <n v="-10000.52"/>
    <s v="DT3"/>
    <x v="20"/>
    <s v="DASSOUTE TEUILLAC COLLEGE"/>
    <x v="20"/>
    <n v="607100"/>
    <n v="-500"/>
    <x v="2"/>
    <s v="Achats fournitures et matériels"/>
    <x v="1"/>
    <n v="60"/>
    <s v="Services extérieurs"/>
  </r>
  <r>
    <x v="1"/>
    <s v="BQ"/>
    <m/>
    <d v="2022-12-31T00:00:00"/>
    <s v="Collège Dassoute Teuillac"/>
    <m/>
    <m/>
    <n v="200"/>
    <n v="-10200.52"/>
    <s v="DT3"/>
    <x v="15"/>
    <s v="DASSOUTE TEUILLAC COLLEGE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n v="9100"/>
    <m/>
    <n v="-1100.5200000000004"/>
    <s v="DT5"/>
    <x v="4"/>
    <s v="DASSOUTE TEUILLAC CANTINE"/>
    <x v="4"/>
    <n v="777100"/>
    <n v="9100"/>
    <x v="2"/>
    <s v="Dons et autres mises à dispositions gratuites"/>
    <x v="2"/>
    <n v="77"/>
    <s v="Produits exceptionnels"/>
  </r>
  <r>
    <x v="1"/>
    <s v="BQ"/>
    <m/>
    <d v="2022-12-31T00:00:00"/>
    <s v="Cantine Dassouet Teuillac"/>
    <m/>
    <m/>
    <n v="4600"/>
    <n v="-5700.52"/>
    <s v="DT5"/>
    <x v="19"/>
    <s v="DASSOUTE TEUILLAC CANTINE"/>
    <x v="19"/>
    <n v="607000"/>
    <n v="-4600"/>
    <x v="2"/>
    <s v="Achats matériaux"/>
    <x v="1"/>
    <n v="60"/>
    <s v="Achat"/>
  </r>
  <r>
    <x v="1"/>
    <s v="BQ"/>
    <m/>
    <d v="2022-12-31T00:00:00"/>
    <s v="Cantine Dassouet Teuillac"/>
    <m/>
    <m/>
    <n v="3500"/>
    <n v="-9200.52"/>
    <s v="DT5"/>
    <x v="20"/>
    <s v="DASSOUTE TEUILLAC CANTINE"/>
    <x v="20"/>
    <n v="607100"/>
    <n v="-3500"/>
    <x v="2"/>
    <s v="Achats fournitures et matériels"/>
    <x v="1"/>
    <n v="60"/>
    <s v="Services extérieurs"/>
  </r>
  <r>
    <x v="1"/>
    <s v="BQ"/>
    <m/>
    <d v="2022-12-31T00:00:00"/>
    <s v="Cantine Dassouet Teuillac"/>
    <m/>
    <m/>
    <n v="500"/>
    <n v="-9700.52"/>
    <s v="DT5"/>
    <x v="15"/>
    <s v="DASSOUTE TEUILLAC CANTINE"/>
    <x v="15"/>
    <n v="623000"/>
    <n v="-500"/>
    <x v="2"/>
    <s v="Publicité, publications, Création de site web"/>
    <x v="1"/>
    <n v="62"/>
    <s v="Autres services extérieurs"/>
  </r>
  <r>
    <x v="1"/>
    <s v="BQ"/>
    <m/>
    <d v="2022-12-31T00:00:00"/>
    <s v="Cantine Dassouet Teuillac"/>
    <m/>
    <m/>
    <n v="500"/>
    <n v="-10200.52"/>
    <s v="DT5"/>
    <x v="32"/>
    <s v="DASSOUTE TEUILLAC CANTINE"/>
    <x v="32"/>
    <n v="622800"/>
    <n v="-500"/>
    <x v="2"/>
    <s v="Frais de formation"/>
    <x v="1"/>
    <n v="62"/>
    <s v="Autres services extérieurs"/>
  </r>
  <r>
    <x v="1"/>
    <s v="BQ"/>
    <m/>
    <d v="2022-12-31T00:00:00"/>
    <s v="agriculture Dassouet Teuillac)"/>
    <m/>
    <n v="3000"/>
    <m/>
    <n v="-7200.52"/>
    <s v="DT6"/>
    <x v="4"/>
    <s v="AGRICULTURE"/>
    <x v="4"/>
    <n v="777100"/>
    <n v="3000"/>
    <x v="2"/>
    <s v="Dons et autres mises à dispositions gratuites"/>
    <x v="2"/>
    <n v="77"/>
    <s v="Produits exceptionnels"/>
  </r>
  <r>
    <x v="1"/>
    <s v="BQ"/>
    <m/>
    <d v="2022-12-31T00:00:00"/>
    <s v="agriculture Dassouet Teuillac)"/>
    <m/>
    <m/>
    <n v="2900"/>
    <n v="-10100.52"/>
    <s v="DT6"/>
    <x v="19"/>
    <s v="AGRICULTURE"/>
    <x v="19"/>
    <n v="607000"/>
    <n v="-2900"/>
    <x v="2"/>
    <s v="Achats matériaux"/>
    <x v="1"/>
    <n v="60"/>
    <s v="Achat"/>
  </r>
  <r>
    <x v="1"/>
    <s v="BQ"/>
    <m/>
    <d v="2022-12-31T00:00:00"/>
    <s v="agriculture Dassouet Teuillac)"/>
    <m/>
    <m/>
    <n v="100"/>
    <n v="-10200.52"/>
    <s v="DT6"/>
    <x v="15"/>
    <s v="AGRICULTURE"/>
    <x v="15"/>
    <n v="623000"/>
    <n v="-100"/>
    <x v="2"/>
    <s v="Publicité, publications, Création de site web"/>
    <x v="1"/>
    <n v="62"/>
    <s v="Autres services extérieurs"/>
  </r>
  <r>
    <x v="1"/>
    <s v="BQ"/>
    <m/>
    <d v="2022-12-31T00:00:00"/>
    <s v="église Dassoute Teuillac"/>
    <m/>
    <n v="1500"/>
    <m/>
    <n v="-8700.52"/>
    <s v="DT7"/>
    <x v="4"/>
    <s v="EGLISE DASSOUTE"/>
    <x v="4"/>
    <n v="777100"/>
    <n v="1500"/>
    <x v="2"/>
    <s v="Dons et autres mises à dispositions gratuites"/>
    <x v="2"/>
    <n v="77"/>
    <s v="Produits exceptionnels"/>
  </r>
  <r>
    <x v="1"/>
    <s v="BQ"/>
    <m/>
    <d v="2022-12-31T00:00:00"/>
    <s v="église Dassoute Teuillac"/>
    <m/>
    <m/>
    <n v="1300"/>
    <n v="-10000.52"/>
    <s v="DT7"/>
    <x v="19"/>
    <s v="EGLISE DASSOUTE"/>
    <x v="19"/>
    <n v="607000"/>
    <n v="-1300"/>
    <x v="2"/>
    <s v="Achats matériaux"/>
    <x v="1"/>
    <n v="60"/>
    <s v="Achat"/>
  </r>
  <r>
    <x v="1"/>
    <s v="BQ"/>
    <m/>
    <d v="2022-12-31T00:00:00"/>
    <s v="église Dassoute Teuillac"/>
    <m/>
    <m/>
    <n v="200"/>
    <n v="-10200.52"/>
    <s v="DT7"/>
    <x v="15"/>
    <s v="EGLISE DASSOUTE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matériel Dassoute Teuillac"/>
    <m/>
    <n v="400"/>
    <m/>
    <n v="-9800.52"/>
    <s v="DT8 "/>
    <x v="4"/>
    <s v="MATERIELS DASSOUTE"/>
    <x v="4"/>
    <n v="777100"/>
    <n v="400"/>
    <x v="2"/>
    <s v="Dons et autres mises à dispositions gratuites"/>
    <x v="2"/>
    <n v="77"/>
    <s v="Produits exceptionnels"/>
  </r>
  <r>
    <x v="1"/>
    <s v="BQ"/>
    <m/>
    <d v="2022-12-31T00:00:00"/>
    <s v="matériel Dassoute Teuillac"/>
    <m/>
    <m/>
    <n v="200"/>
    <n v="-10000.52"/>
    <s v="DT8 "/>
    <x v="20"/>
    <s v="MATERIELS DASSOUTE"/>
    <x v="20"/>
    <n v="607100"/>
    <n v="-200"/>
    <x v="2"/>
    <s v="Achats fournitures et matériels"/>
    <x v="1"/>
    <n v="60"/>
    <s v="Services extérieurs"/>
  </r>
  <r>
    <x v="1"/>
    <s v="BQ"/>
    <m/>
    <d v="2022-12-31T00:00:00"/>
    <s v="matériel Dassoute Teuillac"/>
    <m/>
    <m/>
    <n v="200"/>
    <n v="-10200.52"/>
    <s v="DT8 "/>
    <x v="15"/>
    <s v="MATERIELS DASSOUTE"/>
    <x v="15"/>
    <n v="623000"/>
    <n v="-200"/>
    <x v="2"/>
    <s v="Publicité, publications, Création de site web"/>
    <x v="1"/>
    <n v="62"/>
    <s v="Autres services extérieurs"/>
  </r>
  <r>
    <x v="1"/>
    <s v="BQ"/>
    <m/>
    <d v="2022-12-31T00:00:00"/>
    <s v="bénévolat GHM"/>
    <m/>
    <m/>
    <n v="2000"/>
    <n v="-12200.52"/>
    <s v="GHM"/>
    <x v="12"/>
    <s v="HYGIENE MENSTRUELLE"/>
    <x v="12"/>
    <n v="864000"/>
    <n v="-2000"/>
    <x v="2"/>
    <s v="Personnels bénévoles"/>
    <x v="1"/>
    <n v="86"/>
    <s v="Contributions volontaires"/>
  </r>
  <r>
    <x v="1"/>
    <s v="BQ"/>
    <m/>
    <d v="2022-12-31T00:00:00"/>
    <s v=" bénévolat+ AUTRES CHARGES"/>
    <m/>
    <m/>
    <n v="8440"/>
    <n v="-20640.52"/>
    <s v="ADM"/>
    <x v="12"/>
    <s v="ADMINIST ET FONCT"/>
    <x v="12"/>
    <n v="864000"/>
    <n v="-8440"/>
    <x v="2"/>
    <s v="Personnels bénévoles"/>
    <x v="1"/>
    <n v="86"/>
    <s v="Contributions volontaires"/>
  </r>
  <r>
    <x v="1"/>
    <s v="BQ"/>
    <m/>
    <d v="2022-12-31T00:00:00"/>
    <s v="Produits des activités annexes (manifestations)"/>
    <m/>
    <n v="1000"/>
    <m/>
    <n v="-19640.52"/>
    <s v="ADM"/>
    <x v="21"/>
    <s v="ADMINIST ET FONCT"/>
    <x v="21"/>
    <n v="708000"/>
    <n v="1000"/>
    <x v="2"/>
    <s v="Produits des activités annexes"/>
    <x v="2"/>
    <n v="70"/>
    <s v="Ventes et prestations de services"/>
  </r>
  <r>
    <x v="1"/>
    <s v="BQ"/>
    <m/>
    <d v="2022-12-31T00:00:00"/>
    <s v="GHM AMP et Gratitude"/>
    <m/>
    <n v="4000"/>
    <m/>
    <e v="#REF!"/>
    <s v="GHM"/>
    <x v="23"/>
    <s v="HYGIENE MENSTRUELLE"/>
    <x v="23"/>
    <n v="742000"/>
    <n v="4000"/>
    <x v="2"/>
    <s v="AMP-GRATITUDE"/>
    <x v="2"/>
    <n v="74"/>
    <s v="Subventions d'exploitation"/>
  </r>
  <r>
    <x v="1"/>
    <s v="BQ"/>
    <m/>
    <d v="2022-12-31T00:00:00"/>
    <s v="subvention à solliciter  (Région NA?)"/>
    <m/>
    <n v="5000"/>
    <m/>
    <e v="#REF!"/>
    <s v="GHM"/>
    <x v="24"/>
    <s v="HYGIENE MENSTRUELLE"/>
    <x v="24"/>
    <n v="741000"/>
    <n v="5000"/>
    <x v="2"/>
    <s v="Région Nouvelle-Aquitaine"/>
    <x v="2"/>
    <n v="74"/>
    <s v="Subventions d'exploitation"/>
  </r>
  <r>
    <x v="1"/>
    <s v="BQ"/>
    <m/>
    <d v="2022-12-31T00:00:00"/>
    <s v="Cotisation individuelles et associatives"/>
    <m/>
    <n v="840"/>
    <m/>
    <e v="#REF!"/>
    <s v="ADM"/>
    <x v="4"/>
    <s v="ADMINIST ET FONCT"/>
    <x v="4"/>
    <n v="777100"/>
    <n v="840"/>
    <x v="2"/>
    <s v="Dons et autres mises à dispositions gratuites"/>
    <x v="2"/>
    <n v="77"/>
    <s v="Produits exceptionnels"/>
  </r>
  <r>
    <x v="1"/>
    <s v="BQ"/>
    <m/>
    <d v="2022-12-31T00:00:00"/>
    <s v="Dons et autres à solliciter"/>
    <m/>
    <n v="276.23"/>
    <m/>
    <e v="#REF!"/>
    <s v="GHM"/>
    <x v="7"/>
    <s v="HYGIENE MENSTRUELLE"/>
    <x v="7"/>
    <n v="758100"/>
    <n v="276.23"/>
    <x v="2"/>
    <s v="Cotisations individuelles et associatives"/>
    <x v="2"/>
    <n v="75"/>
    <s v="Autres produits de gestion courante"/>
  </r>
  <r>
    <x v="1"/>
    <s v="BQ"/>
    <m/>
    <d v="2022-12-31T00:00:00"/>
    <s v="bénévolat gHM"/>
    <m/>
    <n v="2000"/>
    <m/>
    <e v="#REF!"/>
    <s v="GHM"/>
    <x v="9"/>
    <s v="HYGIENE MENSTRUELLE"/>
    <x v="9"/>
    <n v="870000"/>
    <n v="2000"/>
    <x v="2"/>
    <s v="Bénévolat"/>
    <x v="2"/>
    <n v="87"/>
    <s v="Contributions volontaires"/>
  </r>
  <r>
    <x v="1"/>
    <s v="BQ"/>
    <m/>
    <d v="2022-12-31T00:00:00"/>
    <s v="Bénévolat + autres charges"/>
    <m/>
    <n v="8440"/>
    <m/>
    <e v="#REF!"/>
    <s v="ADM"/>
    <x v="9"/>
    <s v="ADMINIST ET FONCT"/>
    <x v="9"/>
    <n v="870000"/>
    <n v="8440"/>
    <x v="2"/>
    <s v="Bénévolat"/>
    <x v="2"/>
    <n v="87"/>
    <s v="Contributions volontaires"/>
  </r>
  <r>
    <x v="0"/>
    <s v="BQ"/>
    <n v="1"/>
    <d v="2022-01-01T00:00:00"/>
    <s v="CCA 2021"/>
    <s v="MAIF"/>
    <n v="124.55"/>
    <m/>
    <m/>
    <s v="ADM"/>
    <x v="30"/>
    <s v="ADMINIST ET FONCT"/>
    <x v="30"/>
    <n v="486000"/>
    <n v="124.55"/>
    <x v="2"/>
    <s v="Charges constatées d'avance"/>
    <x v="0"/>
    <n v="48"/>
    <s v="CCA"/>
  </r>
  <r>
    <x v="0"/>
    <s v="BQ"/>
    <n v="1"/>
    <d v="2022-01-01T00:00:00"/>
    <s v="CCA 2021"/>
    <s v="MAIF"/>
    <m/>
    <n v="124.55"/>
    <m/>
    <s v="ADM"/>
    <x v="5"/>
    <s v="ADMINIST ET FONCT"/>
    <x v="5"/>
    <n v="616000"/>
    <n v="-124.55"/>
    <x v="2"/>
    <s v="Primes d'assurance"/>
    <x v="1"/>
    <n v="61"/>
    <s v="Services extérieurs"/>
  </r>
  <r>
    <x v="0"/>
    <s v="BQ"/>
    <n v="1"/>
    <d v="2022-01-01T00:00:00"/>
    <s v="solde ouverture"/>
    <m/>
    <n v="1060.7599999999998"/>
    <m/>
    <n v="1060.7599999999998"/>
    <s v="ADM"/>
    <x v="0"/>
    <s v="ADMINIST ET FONCT"/>
    <x v="0"/>
    <n v="512000"/>
    <n v="1060.7599999999998"/>
    <x v="2"/>
    <s v="Banque"/>
    <x v="0"/>
    <n v="50"/>
    <s v="Trésorerie"/>
  </r>
  <r>
    <x v="0"/>
    <s v="BQ"/>
    <n v="1"/>
    <d v="2022-01-01T00:00:00"/>
    <s v="solde ouverture"/>
    <m/>
    <n v="158.46000000000032"/>
    <m/>
    <n v="1219.22"/>
    <s v="GHM"/>
    <x v="0"/>
    <s v="HYGIENE MENSTRUELLE"/>
    <x v="0"/>
    <n v="512000"/>
    <n v="158.46000000000032"/>
    <x v="2"/>
    <s v="Banque"/>
    <x v="0"/>
    <n v="50"/>
    <s v="Trésorerie"/>
  </r>
  <r>
    <x v="0"/>
    <s v="BQ"/>
    <n v="1"/>
    <d v="2022-01-01T00:00:00"/>
    <s v="solde ouverture"/>
    <m/>
    <n v="740.26"/>
    <m/>
    <n v="1959.48"/>
    <s v="DT5"/>
    <x v="0"/>
    <s v="DASSOUTE TEUILLAC CANTINE"/>
    <x v="0"/>
    <n v="512000"/>
    <n v="740.26"/>
    <x v="2"/>
    <s v="Banque"/>
    <x v="0"/>
    <n v="50"/>
    <s v="Trésorerie"/>
  </r>
  <r>
    <x v="0"/>
    <s v="BQ"/>
    <n v="2"/>
    <d v="2022-01-28T00:00:00"/>
    <s v="CHEQUE EMIS            poste _x000a_0675367/0000000/000000000 "/>
    <s v="Alain PONS "/>
    <m/>
    <n v="69.599999999999994"/>
    <n v="1889.88"/>
    <s v="DT5"/>
    <x v="2"/>
    <s v="DASSOUTE TEUILLAC CANTINE"/>
    <x v="2"/>
    <n v="626100"/>
    <n v="-69.599999999999994"/>
    <x v="2"/>
    <s v="Frais postaux"/>
    <x v="1"/>
    <n v="62"/>
    <s v="Autres services extérieurs"/>
  </r>
  <r>
    <x v="0"/>
    <s v="BQ"/>
    <n v="3"/>
    <d v="2022-01-28T00:00:00"/>
    <s v="CHEQUE EMIS          poste   _x000a_0675366/0000000/000000000 "/>
    <s v="Alain PONS"/>
    <m/>
    <n v="62.9"/>
    <n v="1826.98"/>
    <s v="DT5"/>
    <x v="26"/>
    <s v="DASSOUTE TEUILLAC CANTINE"/>
    <x v="26"/>
    <n v="624000"/>
    <n v="-62.9"/>
    <x v="2"/>
    <s v="Transports"/>
    <x v="1"/>
    <n v="62"/>
    <s v="Charges de personnel"/>
  </r>
  <r>
    <x v="0"/>
    <s v="BQ"/>
    <n v="4"/>
    <d v="2022-01-25T00:00:00"/>
    <s v="CHEQUE EMIS             _x000a_0675362 "/>
    <s v="2A2D"/>
    <m/>
    <n v="54.55"/>
    <n v="1772.43"/>
    <s v="GHM"/>
    <x v="15"/>
    <s v="HYGIENE MENSTRUELLE"/>
    <x v="15"/>
    <n v="623000"/>
    <n v="-54.55"/>
    <x v="2"/>
    <s v="Publicité, publications, Création de site web"/>
    <x v="1"/>
    <n v="62"/>
    <s v="Autres services extérieurs"/>
  </r>
  <r>
    <x v="0"/>
    <s v="BQ"/>
    <n v="5"/>
    <d v="2022-01-25T00:00:00"/>
    <s v="CHEQUE EMIS             _x000a_0675365 "/>
    <s v="2A2D"/>
    <m/>
    <n v="17.16"/>
    <n v="1755.27"/>
    <s v="GHM"/>
    <x v="6"/>
    <s v="HYGIENE MENSTRUELLE"/>
    <x v="6"/>
    <n v="606400"/>
    <n v="-17.16"/>
    <x v="2"/>
    <s v="Fournitures administratives"/>
    <x v="1"/>
    <n v="60"/>
    <s v="Achat"/>
  </r>
  <r>
    <x v="0"/>
    <s v="BQ"/>
    <n v="6"/>
    <d v="2022-01-07T00:00:00"/>
    <s v="SOUSCRIPTION            _x000a_PS. CARBON BLANC CEN "/>
    <s v="2A2D"/>
    <m/>
    <n v="15"/>
    <n v="1740.27"/>
    <s v="ADM"/>
    <x v="33"/>
    <s v="ADMINIST ET FONCT"/>
    <x v="33"/>
    <n v="513000"/>
    <n v="-15"/>
    <x v="2"/>
    <s v="Parts sociales"/>
    <x v="0"/>
    <n v="50"/>
    <s v="Trésorerie"/>
  </r>
  <r>
    <x v="0"/>
    <s v="BQ"/>
    <n v="7"/>
    <d v="2022-01-07T00:00:00"/>
    <s v="CHEQUE EMIS             _x000a_0675361/0000000/000000000 "/>
    <s v="2A2D"/>
    <m/>
    <n v="55.67"/>
    <n v="1684.6"/>
    <s v="GHM"/>
    <x v="15"/>
    <s v="HYGIENE MENSTRUELLE"/>
    <x v="15"/>
    <n v="623000"/>
    <n v="-55.67"/>
    <x v="2"/>
    <s v="Publicité, publications, Création de site web"/>
    <x v="1"/>
    <n v="62"/>
    <s v="Autres services extérieurs"/>
  </r>
  <r>
    <x v="0"/>
    <s v="BQ"/>
    <n v="8"/>
    <d v="2022-01-07T00:00:00"/>
    <s v="REMISE DE CHEQUE        (don monique)_x000a_4543841 "/>
    <s v="2A2D"/>
    <n v="50"/>
    <m/>
    <n v="1734.6"/>
    <s v="ADM"/>
    <x v="7"/>
    <s v="ADMINIST ET FONCT"/>
    <x v="7"/>
    <n v="758100"/>
    <n v="50"/>
    <x v="2"/>
    <s v="Cotisations individuelles et associatives"/>
    <x v="2"/>
    <n v="75"/>
    <s v="Autres produits de gestion courante"/>
  </r>
  <r>
    <x v="0"/>
    <s v="BQ"/>
    <n v="9"/>
    <d v="2022-02-05T00:00:00"/>
    <s v="Reminse de chèque  1505 fraternité"/>
    <s v="2A2D"/>
    <n v="100"/>
    <m/>
    <n v="1834.6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10"/>
    <d v="2022-02-05T00:00:00"/>
    <s v="REMISE DE CHEQUE 0443 fraternité"/>
    <s v="2A2D"/>
    <n v="60"/>
    <m/>
    <n v="1894.6"/>
    <s v="DT5"/>
    <x v="4"/>
    <s v="DASSOUTE TEUILLAC CANTINE"/>
    <x v="4"/>
    <n v="777100"/>
    <n v="60"/>
    <x v="2"/>
    <s v="Dons et autres mises à dispositions gratuites"/>
    <x v="2"/>
    <n v="77"/>
    <s v="Produits exceptionnels"/>
  </r>
  <r>
    <x v="0"/>
    <s v="BQ"/>
    <n v="11"/>
    <d v="2022-02-05T00:00:00"/>
    <s v="REMISE DE CHEQUE 2635977 fraternité"/>
    <s v="2A2D"/>
    <n v="100"/>
    <m/>
    <n v="1994.6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12"/>
    <d v="2022-02-22T00:00:00"/>
    <s v="Chèque émi 0675369 Com février"/>
    <s v="2A2D"/>
    <m/>
    <n v="54.27"/>
    <n v="1940.33"/>
    <s v="GHM"/>
    <x v="15"/>
    <s v="HYGIENE MENSTRUELLE"/>
    <x v="15"/>
    <n v="623000"/>
    <n v="-54.27"/>
    <x v="2"/>
    <s v="Publicité, publications, Création de site web"/>
    <x v="1"/>
    <n v="62"/>
    <s v="Autres services extérieurs"/>
  </r>
  <r>
    <x v="0"/>
    <s v="BQ"/>
    <n v="13"/>
    <d v="2022-02-22T00:00:00"/>
    <s v="Chèque émi 0675368 adhésion socop"/>
    <s v="socop"/>
    <m/>
    <n v="30"/>
    <n v="1910.33"/>
    <s v="ADM"/>
    <x v="1"/>
    <s v="ADMINIST ET FONCT"/>
    <x v="1"/>
    <n v="628100"/>
    <n v="-30"/>
    <x v="2"/>
    <s v="adhesion Hellasso"/>
    <x v="1"/>
    <n v="62"/>
    <s v="Autres services extérieurs"/>
  </r>
  <r>
    <x v="0"/>
    <s v="BQ"/>
    <n v="14"/>
    <d v="2022-02-27T00:00:00"/>
    <s v="Chèque émi 0675370"/>
    <s v="Alain PONS"/>
    <m/>
    <n v="153.9"/>
    <n v="1756.4299999999998"/>
    <s v="DT5"/>
    <x v="16"/>
    <s v="DASSOUTE TEUILLAC CANTINE"/>
    <x v="16"/>
    <n v="625000"/>
    <n v="-153.9"/>
    <x v="2"/>
    <s v="Déplacements, missions et réceptions"/>
    <x v="1"/>
    <n v="62"/>
    <s v="Autres services extérieurs"/>
  </r>
  <r>
    <x v="0"/>
    <s v="BQ"/>
    <n v="15"/>
    <d v="2022-02-27T00:00:00"/>
    <s v="Chèque émi 0675371"/>
    <s v="Alain PONS"/>
    <m/>
    <n v="123.9"/>
    <n v="1632.5299999999997"/>
    <s v="DT5"/>
    <x v="16"/>
    <s v="DASSOUTE TEUILLAC CANTINE"/>
    <x v="16"/>
    <n v="625000"/>
    <n v="-123.9"/>
    <x v="2"/>
    <s v="Déplacements, missions et réceptions"/>
    <x v="1"/>
    <n v="62"/>
    <s v="Autres services extérieurs"/>
  </r>
  <r>
    <x v="0"/>
    <s v="BQ"/>
    <n v="16"/>
    <d v="2022-02-27T00:00:00"/>
    <s v="Remise de chèque 1506  (PONS cantine)"/>
    <s v="2A2D"/>
    <n v="150"/>
    <m/>
    <n v="1782.5299999999997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0"/>
    <s v="BQ"/>
    <n v="17"/>
    <d v="2022-02-27T00:00:00"/>
    <s v="Remise de chèq 200501040B  (Corrieras cantine)"/>
    <m/>
    <n v="50"/>
    <m/>
    <n v="1832.5299999999997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18"/>
    <d v="2022-03-18T00:00:00"/>
    <s v="Remise de chèque,6886437  Adhés Namka"/>
    <s v="2A2D"/>
    <n v="20"/>
    <m/>
    <n v="1852.5299999999997"/>
    <s v="ADM"/>
    <x v="7"/>
    <s v="ADMINIST ET FONCT"/>
    <x v="7"/>
    <n v="758100"/>
    <n v="20"/>
    <x v="2"/>
    <s v="Cotisations individuelles et associatives"/>
    <x v="2"/>
    <n v="75"/>
    <s v="Autres produits de gestion courante"/>
  </r>
  <r>
    <x v="0"/>
    <s v="BQ"/>
    <n v="19"/>
    <d v="2022-03-18T00:00:00"/>
    <s v="Remise de chèque,19744157 Adhés Alioune"/>
    <s v="2A2D"/>
    <n v="40"/>
    <m/>
    <n v="1892.5299999999997"/>
    <s v="ADM"/>
    <x v="7"/>
    <s v="ADMINIST ET FONCT"/>
    <x v="7"/>
    <n v="758100"/>
    <n v="40"/>
    <x v="2"/>
    <s v="Cotisations individuelles et associatives"/>
    <x v="2"/>
    <n v="75"/>
    <s v="Autres produits de gestion courante"/>
  </r>
  <r>
    <x v="0"/>
    <s v="BQ"/>
    <n v="20"/>
    <d v="2022-03-18T00:00:00"/>
    <s v="Remise de chèque, 3208669,PONS"/>
    <s v="2A2D"/>
    <n v="140"/>
    <m/>
    <n v="2032.5299999999997"/>
    <s v="DT5"/>
    <x v="4"/>
    <s v="DASSOUTE TEUILLAC CANTINE"/>
    <x v="4"/>
    <n v="777100"/>
    <n v="140"/>
    <x v="2"/>
    <s v="Dons et autres mises à dispositions gratuites"/>
    <x v="2"/>
    <n v="77"/>
    <s v="Produits exceptionnels"/>
  </r>
  <r>
    <x v="0"/>
    <s v="BQ"/>
    <n v="21"/>
    <d v="2022-03-17T00:00:00"/>
    <s v="Remise de chèque, 447 Piton Jacques"/>
    <s v="2A2D"/>
    <n v="60"/>
    <m/>
    <n v="2092.5299999999997"/>
    <s v="DT5"/>
    <x v="4"/>
    <s v="DASSOUTE TEUILLAC CANTINE"/>
    <x v="4"/>
    <n v="777100"/>
    <n v="60"/>
    <x v="2"/>
    <s v="Dons et autres mises à dispositions gratuites"/>
    <x v="2"/>
    <n v="77"/>
    <s v="Produits exceptionnels"/>
  </r>
  <r>
    <x v="0"/>
    <s v="BQ"/>
    <n v="24"/>
    <d v="2022-03-18T00:00:00"/>
    <s v="Chéque émi, Com mars, 0675372"/>
    <s v="2A2D"/>
    <m/>
    <n v="56.79"/>
    <n v="2035.7399999999998"/>
    <s v="GHM"/>
    <x v="15"/>
    <s v="HYGIENE MENSTRUELLE"/>
    <x v="15"/>
    <n v="623000"/>
    <n v="-56.79"/>
    <x v="2"/>
    <s v="Publicité, publications, Création de site web"/>
    <x v="1"/>
    <n v="62"/>
    <s v="Autres services extérieurs"/>
  </r>
  <r>
    <x v="0"/>
    <s v="BQ"/>
    <n v="25"/>
    <d v="2022-03-18T00:00:00"/>
    <s v="Chèque émi, Convivialité AG 14 mars"/>
    <s v="2A2D"/>
    <m/>
    <n v="47.83"/>
    <n v="1987.9099999999999"/>
    <s v="ADM"/>
    <x v="15"/>
    <s v="ADMINIST ET FONCT"/>
    <x v="15"/>
    <n v="623000"/>
    <n v="-47.83"/>
    <x v="2"/>
    <s v="Publicité, publications, Création de site web"/>
    <x v="1"/>
    <n v="62"/>
    <s v="Autres services extérieurs"/>
  </r>
  <r>
    <x v="0"/>
    <s v="BQ"/>
    <n v="26"/>
    <d v="2022-04-07T00:00:00"/>
    <s v="Remise de chèque, 5472813,Gateau"/>
    <s v="2A2D"/>
    <n v="100"/>
    <m/>
    <n v="2087.91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27"/>
    <d v="2022-04-07T00:00:00"/>
    <s v="Remise de chèque, 3208672,Pons"/>
    <s v="2A2D"/>
    <n v="150"/>
    <m/>
    <n v="2237.91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0"/>
    <s v="BQ"/>
    <n v="28"/>
    <d v="2022-04-07T00:00:00"/>
    <s v="Remise de chèque,1313991, Hetier"/>
    <s v="2A2D"/>
    <n v="50"/>
    <m/>
    <n v="2287.91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29"/>
    <d v="2022-04-07T00:00:00"/>
    <s v="Remise de chèque, 2420054,Royon"/>
    <s v="2A2D"/>
    <n v="25"/>
    <m/>
    <n v="2312.91"/>
    <s v="DT5"/>
    <x v="4"/>
    <s v="DASSOUTE TEUILLAC CANTINE"/>
    <x v="4"/>
    <n v="777100"/>
    <n v="25"/>
    <x v="2"/>
    <s v="Dons et autres mises à dispositions gratuites"/>
    <x v="2"/>
    <n v="77"/>
    <s v="Produits exceptionnels"/>
  </r>
  <r>
    <x v="0"/>
    <s v="BQ"/>
    <n v="30"/>
    <d v="2022-04-07T00:00:00"/>
    <s v="Remise de chèque, 3208670,Pons"/>
    <s v="2A2D"/>
    <n v="10"/>
    <m/>
    <n v="2322.91"/>
    <s v="DT5"/>
    <x v="4"/>
    <s v="DASSOUTE TEUILLAC CANTINE"/>
    <x v="4"/>
    <n v="777100"/>
    <n v="10"/>
    <x v="2"/>
    <s v="Dons et autres mises à dispositions gratuites"/>
    <x v="2"/>
    <n v="77"/>
    <s v="Produits exceptionnels"/>
  </r>
  <r>
    <x v="0"/>
    <s v="BQ"/>
    <n v="31"/>
    <d v="2022-04-07T00:00:00"/>
    <s v="Remise de chèque, 32335,Herreboudt"/>
    <s v="2A2D"/>
    <n v="50"/>
    <m/>
    <n v="2372.91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32"/>
    <d v="2022-04-07T00:00:00"/>
    <s v="Remise de chèque, 4155642, Lebo"/>
    <s v="2A2D"/>
    <n v="30"/>
    <m/>
    <n v="2402.91"/>
    <s v="DT5"/>
    <x v="4"/>
    <s v="DASSOUTE TEUILLAC CANTINE"/>
    <x v="4"/>
    <n v="777100"/>
    <n v="30"/>
    <x v="2"/>
    <s v="Dons et autres mises à dispositions gratuites"/>
    <x v="2"/>
    <n v="77"/>
    <s v="Produits exceptionnels"/>
  </r>
  <r>
    <x v="0"/>
    <s v="BQ"/>
    <n v="33"/>
    <d v="2022-04-07T00:00:00"/>
    <s v="Remise de chèque, 053, Kirat"/>
    <s v="2A2D"/>
    <n v="100"/>
    <m/>
    <n v="2502.91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34"/>
    <d v="2022-04-07T00:00:00"/>
    <s v="Remise de chèque, 0989, Besset-Louis"/>
    <s v="2A2D"/>
    <n v="50"/>
    <m/>
    <n v="2552.91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34"/>
    <d v="2022-04-07T00:00:00"/>
    <s v="Remise de chèque à valider"/>
    <s v="2A2D"/>
    <n v="90"/>
    <m/>
    <n v="2642.91"/>
    <s v="DT5"/>
    <x v="4"/>
    <s v="DASSOUTE TEUILLAC CANTINE"/>
    <x v="4"/>
    <n v="777100"/>
    <n v="90"/>
    <x v="2"/>
    <s v="Dons et autres mises à dispositions gratuites"/>
    <x v="2"/>
    <n v="77"/>
    <s v="Produits exceptionnels"/>
  </r>
  <r>
    <x v="0"/>
    <s v="BQ"/>
    <n v="35"/>
    <d v="2022-04-07T00:00:00"/>
    <s v="Remise de chèque, 7773651, Jasmin"/>
    <s v="2A2D"/>
    <n v="30"/>
    <m/>
    <n v="2672.91"/>
    <s v="DT5"/>
    <x v="4"/>
    <s v="DASSOUTE TEUILLAC CANTINE"/>
    <x v="4"/>
    <n v="777100"/>
    <n v="30"/>
    <x v="2"/>
    <s v="Dons et autres mises à dispositions gratuites"/>
    <x v="2"/>
    <n v="77"/>
    <s v="Produits exceptionnels"/>
  </r>
  <r>
    <x v="0"/>
    <s v="BQ"/>
    <n v="36"/>
    <d v="2022-04-20T00:00:00"/>
    <s v="Remise de chèque,1509, Alain Pons"/>
    <s v="2A2D"/>
    <n v="350"/>
    <m/>
    <n v="3022.91"/>
    <s v="DT5"/>
    <x v="4"/>
    <s v="DASSOUTE TEUILLAC CANTINE"/>
    <x v="4"/>
    <n v="777100"/>
    <n v="350"/>
    <x v="2"/>
    <s v="Dons et autres mises à dispositions gratuites"/>
    <x v="2"/>
    <n v="77"/>
    <s v="Produits exceptionnels"/>
  </r>
  <r>
    <x v="0"/>
    <s v="BQ"/>
    <n v="37"/>
    <d v="2022-04-20T00:00:00"/>
    <s v="Remise de chèque,1508, Alain Pons"/>
    <s v="2A2D"/>
    <n v="210"/>
    <m/>
    <n v="3232.91"/>
    <s v="DT5"/>
    <x v="4"/>
    <s v="DASSOUTE TEUILLAC CANTINE"/>
    <x v="4"/>
    <n v="777100"/>
    <n v="210"/>
    <x v="2"/>
    <s v="Dons et autres mises à dispositions gratuites"/>
    <x v="2"/>
    <n v="77"/>
    <s v="Produits exceptionnels"/>
  </r>
  <r>
    <x v="0"/>
    <s v="BQ"/>
    <n v="38"/>
    <d v="2022-05-26T00:00:00"/>
    <s v="Chèque émi, com Avril, 4055716"/>
    <s v="2A2D"/>
    <m/>
    <n v="56.79"/>
    <n v="3176.12"/>
    <s v="GHM"/>
    <x v="15"/>
    <s v="HYGIENE MENSTRUELLE"/>
    <x v="15"/>
    <n v="623000"/>
    <n v="-56.79"/>
    <x v="2"/>
    <s v="Publicité, publications, Création de site web"/>
    <x v="1"/>
    <n v="62"/>
    <s v="Autres services extérieurs"/>
  </r>
  <r>
    <x v="0"/>
    <s v="BQ"/>
    <n v="40"/>
    <d v="2022-05-02T00:00:00"/>
    <s v="Chèque émi, Guilde, Sanitaire, 4055717"/>
    <s v="2A2D"/>
    <m/>
    <n v="20"/>
    <n v="3156.12"/>
    <s v="TE"/>
    <x v="15"/>
    <s v="TOILETTES ECOSAN"/>
    <x v="15"/>
    <n v="623000"/>
    <n v="-20"/>
    <x v="2"/>
    <s v="Publicité, publications, Création de site web"/>
    <x v="1"/>
    <n v="62"/>
    <s v="Autres services extérieurs"/>
  </r>
  <r>
    <x v="0"/>
    <s v="BQ"/>
    <n v="42"/>
    <d v="2022-04-21T00:00:00"/>
    <s v="Remise de Chèque 1508, Alain PONS"/>
    <s v="2A2D"/>
    <n v="210"/>
    <m/>
    <n v="3366.12"/>
    <s v="DT5"/>
    <x v="4"/>
    <s v="DASSOUTE TEUILLAC CANTINE"/>
    <x v="4"/>
    <n v="777100"/>
    <n v="210"/>
    <x v="2"/>
    <s v="Dons et autres mises à dispositions gratuites"/>
    <x v="2"/>
    <n v="77"/>
    <s v="Produits exceptionnels"/>
  </r>
  <r>
    <x v="0"/>
    <s v="BQ"/>
    <n v="43"/>
    <d v="2022-05-17T00:00:00"/>
    <s v="Virement département collège Dassoute"/>
    <s v="2A2D"/>
    <n v="15000"/>
    <m/>
    <n v="18366.12"/>
    <s v="DT5"/>
    <x v="34"/>
    <s v="DASSOUTE TEUILLAC CANTINE"/>
    <x v="34"/>
    <n v="748000"/>
    <n v="15000"/>
    <x v="2"/>
    <s v="Mairie de Teuillac"/>
    <x v="2"/>
    <n v="74"/>
    <s v="Subventions d'exploitation"/>
  </r>
  <r>
    <x v="0"/>
    <s v="BQ"/>
    <n v="44"/>
    <d v="2022-05-19T00:00:00"/>
    <s v="Remise de chèque par Alain, 3536029 "/>
    <s v="2A2D"/>
    <n v="810"/>
    <m/>
    <n v="19176.12"/>
    <s v="DT5"/>
    <x v="4"/>
    <s v="DASSOUTE TEUILLAC CANTINE"/>
    <x v="4"/>
    <n v="777100"/>
    <n v="810"/>
    <x v="2"/>
    <s v="Dons et autres mises à dispositions gratuites"/>
    <x v="2"/>
    <n v="77"/>
    <s v="Produits exceptionnels"/>
  </r>
  <r>
    <x v="0"/>
    <s v="BQ"/>
    <n v="45"/>
    <d v="2022-05-19T00:00:00"/>
    <s v="Virement IDAAFE, engrais-Cantine"/>
    <s v="IDAAFE"/>
    <m/>
    <n v="2250"/>
    <n v="16926.12"/>
    <s v="DT5"/>
    <x v="20"/>
    <s v="DASSOUTE TEUILLAC CANTINE"/>
    <x v="20"/>
    <n v="607100"/>
    <n v="-2250"/>
    <x v="2"/>
    <s v="Achats fournitures et matériels"/>
    <x v="1"/>
    <n v="60"/>
    <s v="Services extérieurs"/>
  </r>
  <r>
    <x v="0"/>
    <s v="BQ"/>
    <n v="46"/>
    <d v="2022-05-19T00:00:00"/>
    <s v="Frais de virement IDAAFE E2202010565"/>
    <s v="Crédit Agricole"/>
    <m/>
    <n v="18.399999999999999"/>
    <n v="16907.719999999998"/>
    <s v="DT5"/>
    <x v="25"/>
    <s v="DASSOUTE TEUILLAC CANTINE"/>
    <x v="25"/>
    <n v="627000"/>
    <n v="-18.399999999999999"/>
    <x v="2"/>
    <s v="Frais bancaires"/>
    <x v="1"/>
    <n v="62"/>
    <s v="Autres services extérieurs"/>
  </r>
  <r>
    <x v="0"/>
    <s v="BQ"/>
    <n v="47"/>
    <d v="2022-05-19T00:00:00"/>
    <s v="Chèque émi, 0675374, Voyage Eloi"/>
    <s v="Alain PONS"/>
    <m/>
    <n v="1271.69"/>
    <n v="15636.029999999997"/>
    <s v="DT5"/>
    <x v="16"/>
    <s v="DASSOUTE TEUILLAC CANTINE"/>
    <x v="16"/>
    <n v="625000"/>
    <n v="-1271.69"/>
    <x v="2"/>
    <s v="Déplacements, missions et réceptions"/>
    <x v="1"/>
    <n v="62"/>
    <s v="Autres services extérieurs"/>
  </r>
  <r>
    <x v="0"/>
    <s v="BQ"/>
    <n v="48"/>
    <d v="2022-05-20T00:00:00"/>
    <s v="Billet d'avion Evaluation GHM 3"/>
    <s v="2A2D à soustraire"/>
    <m/>
    <n v="1329.25"/>
    <n v="14306.779999999997"/>
    <s v="GHM"/>
    <x v="16"/>
    <s v="HYGIENE MENSTRUELLE"/>
    <x v="16"/>
    <n v="625000"/>
    <n v="-1329.25"/>
    <x v="2"/>
    <s v="Déplacements, missions et réceptions"/>
    <x v="1"/>
    <n v="62"/>
    <s v="Autres services extérieurs"/>
  </r>
  <r>
    <x v="0"/>
    <s v="BQ"/>
    <n v="49"/>
    <d v="2022-02-11T00:00:00"/>
    <s v="Billet d'avion Evaluation GHM 2"/>
    <s v="2A2D à soustraire"/>
    <m/>
    <n v="434.9"/>
    <n v="13871.879999999997"/>
    <s v="GHM"/>
    <x v="16"/>
    <s v="HYGIENE MENSTRUELLE"/>
    <x v="16"/>
    <n v="625000"/>
    <n v="-434.9"/>
    <x v="2"/>
    <s v="Déplacements, missions et réceptions"/>
    <x v="1"/>
    <n v="62"/>
    <s v="Autres services extérieurs"/>
  </r>
  <r>
    <x v="0"/>
    <s v="BQ"/>
    <n v="50"/>
    <d v="2022-07-23T00:00:00"/>
    <s v="CHEQUE EMIS             4055744"/>
    <m/>
    <m/>
    <n v="275"/>
    <n v="13596.879999999997"/>
    <s v="DT5"/>
    <x v="28"/>
    <s v="DASSOUTE TEUILLAC CANTINE"/>
    <x v="28"/>
    <n v="606800"/>
    <n v="-275"/>
    <x v="2"/>
    <s v="Autres matières et fournitures"/>
    <x v="1"/>
    <n v="60"/>
    <s v="Achat"/>
  </r>
  <r>
    <x v="0"/>
    <s v="BQ"/>
    <n v="51"/>
    <d v="2022-07-23T00:00:00"/>
    <s v="CHEQUE EMIS             4055742"/>
    <m/>
    <m/>
    <n v="111.64"/>
    <n v="13485.239999999998"/>
    <s v="GHM"/>
    <x v="15"/>
    <s v="HYGIENE MENSTRUELLE"/>
    <x v="15"/>
    <n v="623000"/>
    <n v="-111.64"/>
    <x v="2"/>
    <s v="Publicité, publications, Création de site web"/>
    <x v="1"/>
    <n v="62"/>
    <s v="Autres services extérieurs"/>
  </r>
  <r>
    <x v="0"/>
    <s v="BQ"/>
    <n v="52"/>
    <d v="2022-07-23T00:00:00"/>
    <s v="REMISE DE CHEQUE        4737690 "/>
    <m/>
    <n v="310"/>
    <m/>
    <n v="13795.239999999998"/>
    <s v="ADM"/>
    <x v="7"/>
    <s v="ADMINIST ET FONCT"/>
    <x v="7"/>
    <n v="758100"/>
    <n v="310"/>
    <x v="2"/>
    <s v="Cotisations individuelles et associatives"/>
    <x v="2"/>
    <n v="75"/>
    <s v="Autres produits de gestion courante"/>
  </r>
  <r>
    <x v="0"/>
    <s v="BQ"/>
    <n v="53"/>
    <d v="2022-07-15T00:00:00"/>
    <s v="REMISE DE CHEQUE        2941638 "/>
    <m/>
    <n v="100"/>
    <m/>
    <n v="13895.239999999998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54"/>
    <d v="2022-07-11T00:00:00"/>
    <s v="VIREMENT EN VOTRE FAVEUR_x000a_LEMONWAY LEWSCTU890115 HELLOASSO"/>
    <m/>
    <n v="60"/>
    <m/>
    <n v="13955.239999999998"/>
    <s v="DT5"/>
    <x v="4"/>
    <s v="DASSOUTE TEUILLAC CANTINE"/>
    <x v="4"/>
    <n v="777100"/>
    <n v="60"/>
    <x v="2"/>
    <s v="Dons et autres mises à dispositions gratuites"/>
    <x v="2"/>
    <n v="77"/>
    <s v="Produits exceptionnels"/>
  </r>
  <r>
    <x v="0"/>
    <s v="BQ"/>
    <n v="55"/>
    <d v="2022-07-07T00:00:00"/>
    <s v="PRELEVEMENT             _x000a_COM DE TRANSFERT E2202014450 "/>
    <m/>
    <m/>
    <n v="18.399999999999999"/>
    <n v="13936.839999999998"/>
    <s v="DT5"/>
    <x v="25"/>
    <s v="DASSOUTE TEUILLAC CANTINE"/>
    <x v="25"/>
    <n v="627000"/>
    <n v="-18.399999999999999"/>
    <x v="2"/>
    <s v="Frais bancaires"/>
    <x v="1"/>
    <n v="62"/>
    <s v="Autres services extérieurs"/>
  </r>
  <r>
    <x v="0"/>
    <s v="BQ"/>
    <n v="56"/>
    <d v="2022-07-07T00:00:00"/>
    <s v="VI EMIS A L'ETRANGER    _x000a_E2202014450 ASSOCIATION IDAAFE "/>
    <m/>
    <m/>
    <n v="10756"/>
    <n v="3180.8399999999983"/>
    <s v="DT5"/>
    <x v="18"/>
    <s v="DASSOUTE TEUILLAC CANTINE"/>
    <x v="18"/>
    <n v="611000"/>
    <n v="-10756"/>
    <x v="2"/>
    <s v="Sous-traitance générale "/>
    <x v="1"/>
    <n v="61"/>
    <s v="Services extérieurs"/>
  </r>
  <r>
    <x v="0"/>
    <s v="BQ"/>
    <n v="57"/>
    <d v="2022-07-07T00:00:00"/>
    <s v="REMISE DE CHEQUE        _x000a_2941637 "/>
    <m/>
    <n v="200"/>
    <m/>
    <n v="3380.8399999999983"/>
    <s v="DT5"/>
    <x v="4"/>
    <s v="DASSOUTE TEUILLAC CANTINE"/>
    <x v="4"/>
    <n v="777100"/>
    <n v="200"/>
    <x v="2"/>
    <s v="Dons et autres mises à dispositions gratuites"/>
    <x v="2"/>
    <n v="77"/>
    <s v="Produits exceptionnels"/>
  </r>
  <r>
    <x v="0"/>
    <s v="BQ"/>
    <n v="58"/>
    <d v="2022-06-29T00:00:00"/>
    <s v="REMISE DE CHEQUE        _x000a_2941636 "/>
    <m/>
    <n v="700"/>
    <m/>
    <n v="4080.8399999999983"/>
    <s v="DT5"/>
    <x v="4"/>
    <s v="DASSOUTE TEUILLAC CANTINE"/>
    <x v="4"/>
    <n v="777100"/>
    <n v="700"/>
    <x v="2"/>
    <s v="Dons et autres mises à dispositions gratuites"/>
    <x v="2"/>
    <n v="77"/>
    <s v="Produits exceptionnels"/>
  </r>
  <r>
    <x v="0"/>
    <s v="BQ"/>
    <n v="59"/>
    <d v="2022-06-29T00:00:00"/>
    <s v="REMISE DE CHEQUE        _x000a_2941634 "/>
    <m/>
    <n v="300"/>
    <m/>
    <n v="4380.8399999999983"/>
    <s v="DT5"/>
    <x v="4"/>
    <s v="DASSOUTE TEUILLAC CANTINE"/>
    <x v="4"/>
    <n v="777100"/>
    <n v="300"/>
    <x v="2"/>
    <s v="Dons et autres mises à dispositions gratuites"/>
    <x v="2"/>
    <n v="77"/>
    <s v="Produits exceptionnels"/>
  </r>
  <r>
    <x v="0"/>
    <s v="BQ"/>
    <n v="60"/>
    <d v="2022-06-28T00:00:00"/>
    <s v="REMISE DE CHEQUE        _x000a_2941633 "/>
    <m/>
    <n v="825"/>
    <m/>
    <n v="5205.8399999999983"/>
    <s v="DT5"/>
    <x v="4"/>
    <s v="DASSOUTE TEUILLAC CANTINE"/>
    <x v="4"/>
    <n v="777100"/>
    <n v="825"/>
    <x v="2"/>
    <s v="Dons et autres mises à dispositions gratuites"/>
    <x v="2"/>
    <n v="77"/>
    <s v="Produits exceptionnels"/>
  </r>
  <r>
    <x v="0"/>
    <s v="BQ"/>
    <n v="61"/>
    <d v="2022-06-28T00:00:00"/>
    <s v="VERSEMENT D'ESPECES     _x000a_BOURG SUR GIRO 3108254 093942 "/>
    <m/>
    <n v="400"/>
    <m/>
    <n v="5605.8399999999983"/>
    <s v="DT5"/>
    <x v="4"/>
    <s v="DASSOUTE TEUILLAC CANTINE"/>
    <x v="4"/>
    <n v="777100"/>
    <n v="400"/>
    <x v="2"/>
    <s v="Dons et autres mises à dispositions gratuites"/>
    <x v="2"/>
    <n v="77"/>
    <s v="Produits exceptionnels"/>
  </r>
  <r>
    <x v="0"/>
    <s v="BQ"/>
    <n v="62"/>
    <d v="2022-06-18T00:00:00"/>
    <s v="REMISE DE CHEQUE        _x000a_2941635 "/>
    <m/>
    <n v="300"/>
    <m/>
    <n v="5905.8399999999983"/>
    <s v="DT5"/>
    <x v="4"/>
    <s v="DASSOUTE TEUILLAC CANTINE"/>
    <x v="4"/>
    <n v="777100"/>
    <n v="300"/>
    <x v="2"/>
    <s v="Dons et autres mises à dispositions gratuites"/>
    <x v="2"/>
    <n v="77"/>
    <s v="Produits exceptionnels"/>
  </r>
  <r>
    <x v="0"/>
    <s v="BQ"/>
    <n v="63"/>
    <d v="2022-06-18T00:00:00"/>
    <s v="REMISE DE CHEQUE        _x000a_2941639 "/>
    <m/>
    <n v="50"/>
    <m/>
    <n v="5955.8399999999983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64"/>
    <d v="2022-06-18T00:00:00"/>
    <s v="REMISE DE CHEQUE        _x000a_2941642 "/>
    <m/>
    <n v="1000"/>
    <m/>
    <n v="6955.8399999999983"/>
    <s v="DT5"/>
    <x v="4"/>
    <s v="DASSOUTE TEUILLAC CANTINE"/>
    <x v="4"/>
    <n v="777100"/>
    <n v="1000"/>
    <x v="2"/>
    <s v="Dons et autres mises à dispositions gratuites"/>
    <x v="2"/>
    <n v="77"/>
    <s v="Produits exceptionnels"/>
  </r>
  <r>
    <x v="0"/>
    <s v="BQ"/>
    <n v="65"/>
    <d v="2022-06-15T00:00:00"/>
    <s v="REMISE DE CHEQUE        _x000a_2941653 "/>
    <m/>
    <n v="40"/>
    <m/>
    <n v="6995.8399999999983"/>
    <s v="DT5"/>
    <x v="4"/>
    <s v="DASSOUTE TEUILLAC CANTINE"/>
    <x v="4"/>
    <n v="777100"/>
    <n v="40"/>
    <x v="2"/>
    <s v="Dons et autres mises à dispositions gratuites"/>
    <x v="2"/>
    <n v="77"/>
    <s v="Produits exceptionnels"/>
  </r>
  <r>
    <x v="0"/>
    <s v="BQ"/>
    <n v="66"/>
    <d v="2022-06-14T00:00:00"/>
    <s v="REMISE DE CHEQUE        _x000a_2941649 "/>
    <m/>
    <n v="50"/>
    <m/>
    <n v="7045.8399999999983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67"/>
    <d v="2022-06-14T00:00:00"/>
    <s v="REMISE DE CHEQUE        _x000a_2941650 "/>
    <m/>
    <n v="100"/>
    <m/>
    <n v="7145.8399999999983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68"/>
    <d v="2022-06-14T00:00:00"/>
    <s v="REMISE DE CHEQUE        _x000a_2941651 "/>
    <m/>
    <n v="150"/>
    <m/>
    <n v="7295.8399999999983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0"/>
    <s v="BQ"/>
    <n v="69"/>
    <d v="2022-06-07T00:00:00"/>
    <s v="REMISE DE CHEQUE        _x000a_2941648 "/>
    <m/>
    <n v="50"/>
    <m/>
    <n v="7345.8399999999983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70"/>
    <d v="2022-06-01T00:00:00"/>
    <s v="REMISE DE CHEQUE        _x000a_2941644 "/>
    <m/>
    <n v="50"/>
    <m/>
    <n v="7395.8399999999983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0"/>
    <s v="BQ"/>
    <n v="71"/>
    <d v="2022-06-01T00:00:00"/>
    <s v="REMISE DE CHEQUE        _x000a_2941645 "/>
    <m/>
    <n v="1500"/>
    <m/>
    <n v="8895.8399999999983"/>
    <s v="DT5"/>
    <x v="4"/>
    <s v="DASSOUTE TEUILLAC CANTINE"/>
    <x v="4"/>
    <n v="777100"/>
    <n v="1500"/>
    <x v="2"/>
    <s v="Dons et autres mises à dispositions gratuites"/>
    <x v="2"/>
    <n v="77"/>
    <s v="Produits exceptionnels"/>
  </r>
  <r>
    <x v="0"/>
    <s v="BQ"/>
    <n v="72"/>
    <d v="2022-06-01T00:00:00"/>
    <s v="REMISE DE CHEQUE        _x000a_2941652 "/>
    <m/>
    <n v="150"/>
    <m/>
    <n v="9045.8399999999983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0"/>
    <s v="BQ"/>
    <n v="73"/>
    <d v="2022-07-27T00:00:00"/>
    <s v="REMISE DE CHEQUE        _x000a_2941640 "/>
    <s v="Fraternité"/>
    <n v="100"/>
    <m/>
    <n v="9145.8399999999983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0"/>
    <s v="BQ"/>
    <n v="74"/>
    <d v="2022-08-04T00:00:00"/>
    <s v="VI EMIS A L'ETRANGER    _x000a_E2202016402 ASSOCIATION IDAAFE "/>
    <s v="Fraternité"/>
    <m/>
    <n v="8310"/>
    <n v="835.83999999999833"/>
    <s v="DT5"/>
    <x v="18"/>
    <s v="DASSOUTE TEUILLAC CANTINE"/>
    <x v="18"/>
    <n v="611000"/>
    <n v="-8310"/>
    <x v="2"/>
    <s v="Sous-traitance générale "/>
    <x v="1"/>
    <n v="61"/>
    <s v="Services extérieurs"/>
  </r>
  <r>
    <x v="0"/>
    <s v="BQ"/>
    <n v="75"/>
    <d v="2022-08-04T00:00:00"/>
    <s v="PRELEVEMENT             _x000a_COM DE TRANSFERT E2202016402 "/>
    <m/>
    <m/>
    <n v="18.399999999999999"/>
    <n v="817.43999999999835"/>
    <s v="DT5"/>
    <x v="25"/>
    <s v="DASSOUTE TEUILLAC CANTINE"/>
    <x v="25"/>
    <n v="627000"/>
    <n v="-18.399999999999999"/>
    <x v="2"/>
    <s v="Frais bancaires"/>
    <x v="1"/>
    <n v="62"/>
    <s v="Autres services extérieurs"/>
  </r>
  <r>
    <x v="0"/>
    <s v="BQ"/>
    <n v="76"/>
    <d v="2022-08-22T00:00:00"/>
    <s v="VIREMENT EN VOTRE FAVEUR_x000a_GUILDE EUROPEENNE DU RAID VH2223 DEB3/3 PROJET 2020 02 0043 _x000a_VH22231WRY0RV701                   "/>
    <m/>
    <n v="667"/>
    <m/>
    <n v="1484.4399999999982"/>
    <s v="GHM"/>
    <x v="24"/>
    <s v="HYGIENE MENSTRUELLE"/>
    <x v="24"/>
    <n v="741000"/>
    <n v="667"/>
    <x v="2"/>
    <s v="Région Nouvelle-Aquitaine"/>
    <x v="2"/>
    <n v="74"/>
    <s v="Subventions d'exploitation"/>
  </r>
  <r>
    <x v="0"/>
    <s v="BQ"/>
    <n v="77"/>
    <d v="2022-08-22T00:00:00"/>
    <s v="VIREMENT EN VOTRE FAVEUR_x000a_GUILDE EUROPEENNE DU RAID VH2223 DEB3/3 PROJET 2020 02 0043 _x000a_VH22231TX8AVYU01                   "/>
    <m/>
    <n v="3333"/>
    <m/>
    <n v="4817.4399999999987"/>
    <s v="GHM"/>
    <x v="24"/>
    <s v="HYGIENE MENSTRUELLE"/>
    <x v="24"/>
    <n v="741000"/>
    <n v="3333"/>
    <x v="2"/>
    <s v="Région Nouvelle-Aquitaine"/>
    <x v="2"/>
    <n v="74"/>
    <s v="Subventions d'exploitation"/>
  </r>
  <r>
    <x v="0"/>
    <s v="BQ"/>
    <n v="77"/>
    <d v="2022-08-22T00:00:00"/>
    <s v="Solde avec la Fraternité FDT chèque 4055719"/>
    <m/>
    <m/>
    <n v="1462.07"/>
    <n v="3355.369999999999"/>
    <s v="DT5"/>
    <x v="35"/>
    <s v="DASSOUTE TEUILLAC CANTINE"/>
    <x v="35"/>
    <n v="670000"/>
    <n v="-1462.07"/>
    <x v="2"/>
    <s v="Charges exceptionnelles"/>
    <x v="1"/>
    <n v="67"/>
    <s v="charges exceptionnelles"/>
  </r>
  <r>
    <x v="0"/>
    <s v="BQ"/>
    <n v="78"/>
    <d v="2022-08-31T00:00:00"/>
    <s v="Dépot de dossier sanitaire bis-Guilde/10979"/>
    <s v="2A2D"/>
    <m/>
    <n v="20"/>
    <n v="3335.369999999999"/>
    <s v="TE"/>
    <x v="15"/>
    <s v="TOILETTES ECOSAN"/>
    <x v="15"/>
    <n v="623000"/>
    <n v="-20"/>
    <x v="2"/>
    <s v="Publicité, publications, Création de site web"/>
    <x v="1"/>
    <n v="62"/>
    <s v="Autres services extérieurs"/>
  </r>
  <r>
    <x v="0"/>
    <s v="BQ"/>
    <n v="79"/>
    <d v="2022-09-17T00:00:00"/>
    <s v="Comunication mai 4055720"/>
    <s v="2A2D"/>
    <m/>
    <n v="56.79"/>
    <n v="3278.579999999999"/>
    <s v="GHM"/>
    <x v="15"/>
    <s v="HYGIENE MENSTRUELLE"/>
    <x v="15"/>
    <n v="623000"/>
    <n v="-56.79"/>
    <x v="2"/>
    <s v="Publicité, publications, Création de site web"/>
    <x v="1"/>
    <n v="62"/>
    <s v="Autres services extérieurs"/>
  </r>
  <r>
    <x v="0"/>
    <s v="BQ"/>
    <n v="81"/>
    <d v="2022-09-17T00:00:00"/>
    <s v="Com Août Mission 4055721"/>
    <s v="2A2D"/>
    <m/>
    <n v="119.31"/>
    <n v="3159.2699999999991"/>
    <s v="GHM"/>
    <x v="15"/>
    <s v="HYGIENE MENSTRUELLE"/>
    <x v="15"/>
    <n v="623000"/>
    <n v="-119.31"/>
    <x v="2"/>
    <s v="Publicité, publications, Création de site web"/>
    <x v="1"/>
    <n v="62"/>
    <s v="Autres services extérieurs"/>
  </r>
  <r>
    <x v="0"/>
    <s v="BQ"/>
    <n v="82"/>
    <d v="2022-09-17T00:00:00"/>
    <s v="Régularisation compte"/>
    <s v="2A2D"/>
    <n v="36"/>
    <m/>
    <n v="3195.2699999999991"/>
    <s v="ADM"/>
    <x v="36"/>
    <s v="ADMINIST ET FONCT"/>
    <x v="36"/>
    <n v="450000"/>
    <n v="36"/>
    <x v="2"/>
    <s v="Compte courant"/>
    <x v="0"/>
    <n v="45"/>
    <s v="Compte courant"/>
  </r>
  <r>
    <x v="0"/>
    <s v="BQ"/>
    <n v="83"/>
    <d v="2022-09-22T00:00:00"/>
    <s v="VIR  REGION NVLLE AQUITAIN 2021/SOLDE"/>
    <m/>
    <n v="5000"/>
    <m/>
    <n v="8195.2699999999986"/>
    <s v="GHM"/>
    <x v="24"/>
    <s v="HYGIENE MENSTRUELLE"/>
    <x v="24"/>
    <n v="741000"/>
    <n v="5000"/>
    <x v="2"/>
    <s v="Région Nouvelle-Aquitaine"/>
    <x v="2"/>
    <n v="74"/>
    <s v="Subventions d'exploitation"/>
  </r>
  <r>
    <x v="2"/>
    <s v="BQ"/>
    <m/>
    <d v="2022-01-01T00:00:00"/>
    <s v="solde ouverture"/>
    <m/>
    <n v="1399.0499999999995"/>
    <m/>
    <n v="9594.3199999999979"/>
    <s v="ADM"/>
    <x v="0"/>
    <s v="ADMINIST ET FONCT"/>
    <x v="0"/>
    <n v="512000"/>
    <n v="1399.0499999999995"/>
    <x v="2"/>
    <s v="Banque"/>
    <x v="0"/>
    <n v="50"/>
    <s v="Trésorerie"/>
  </r>
  <r>
    <x v="2"/>
    <s v="BQ"/>
    <m/>
    <d v="2022-01-01T00:00:00"/>
    <s v="solde ouverture"/>
    <m/>
    <n v="-179.82999999999947"/>
    <m/>
    <n v="9414.489999999998"/>
    <s v="GHM"/>
    <x v="0"/>
    <s v="HYGIENE MENSTRUELLE"/>
    <x v="0"/>
    <n v="512000"/>
    <n v="-179.82999999999947"/>
    <x v="2"/>
    <s v="Banque"/>
    <x v="0"/>
    <n v="50"/>
    <s v="Trésorerie"/>
  </r>
  <r>
    <x v="2"/>
    <s v="BQ"/>
    <m/>
    <d v="2022-12-31T00:00:00"/>
    <s v="reprise assurance 2022"/>
    <m/>
    <m/>
    <n v="100"/>
    <n v="9314.489999999998"/>
    <s v="ADM"/>
    <x v="13"/>
    <s v="ADMINIST ET FONCT"/>
    <x v="13"/>
    <n v="602200"/>
    <n v="-100"/>
    <x v="2"/>
    <s v="Fournitures de bureau et consommables"/>
    <x v="1"/>
    <n v="60"/>
    <s v="Achat"/>
  </r>
  <r>
    <x v="2"/>
    <s v="BQ"/>
    <m/>
    <d v="2022-12-31T00:00:00"/>
    <s v="reprise assurance 2022"/>
    <m/>
    <n v="124.55"/>
    <m/>
    <n v="9439.0399999999972"/>
    <s v="ADM"/>
    <x v="30"/>
    <s v="ADMINIST ET FONCT"/>
    <x v="30"/>
    <n v="486000"/>
    <n v="124.55"/>
    <x v="2"/>
    <s v="Charges constatées d'avance"/>
    <x v="0"/>
    <n v="48"/>
    <s v="CCA"/>
  </r>
  <r>
    <x v="2"/>
    <s v="BQ"/>
    <m/>
    <d v="2022-12-31T00:00:00"/>
    <s v=" Fournitures de bureau et consommables"/>
    <m/>
    <m/>
    <n v="124.55"/>
    <n v="9314.489999999998"/>
    <s v="ADM"/>
    <x v="5"/>
    <s v="ADMINIST ET FONCT"/>
    <x v="5"/>
    <n v="616000"/>
    <n v="-124.55"/>
    <x v="2"/>
    <s v="Primes d'assurance"/>
    <x v="1"/>
    <n v="61"/>
    <s v="Services extérieurs"/>
  </r>
  <r>
    <x v="2"/>
    <s v="BQ"/>
    <m/>
    <d v="2022-12-31T00:00:00"/>
    <s v="Fournitures administratives"/>
    <m/>
    <m/>
    <n v="100"/>
    <n v="9214.489999999998"/>
    <s v="ADM"/>
    <x v="6"/>
    <s v="ADMINIST ET FONCT"/>
    <x v="6"/>
    <n v="606400"/>
    <n v="-100"/>
    <x v="2"/>
    <s v="Fournitures administratives"/>
    <x v="1"/>
    <n v="60"/>
    <s v="Achat"/>
  </r>
  <r>
    <x v="2"/>
    <s v="BQ"/>
    <m/>
    <d v="2022-12-31T00:00:00"/>
    <s v="Primes d'assurance"/>
    <m/>
    <m/>
    <n v="5.4500000000000028"/>
    <n v="9209.0399999999972"/>
    <s v="ADM"/>
    <x v="5"/>
    <s v="ADMINIST ET FONCT"/>
    <x v="5"/>
    <n v="616000"/>
    <n v="-5.4500000000000028"/>
    <x v="2"/>
    <s v="Primes d'assurance"/>
    <x v="1"/>
    <n v="61"/>
    <s v="Services extérieurs"/>
  </r>
  <r>
    <x v="2"/>
    <s v="BQ"/>
    <m/>
    <d v="2022-12-31T00:00:00"/>
    <s v="Documentation générale"/>
    <m/>
    <m/>
    <n v="50"/>
    <n v="9159.0399999999972"/>
    <s v="ADM"/>
    <x v="14"/>
    <s v="ADMINIST ET FONCT"/>
    <x v="14"/>
    <n v="618100"/>
    <n v="-50"/>
    <x v="2"/>
    <s v="Documentation générale"/>
    <x v="1"/>
    <n v="61"/>
    <s v="Autres services extérieurs"/>
  </r>
  <r>
    <x v="2"/>
    <s v="BQ"/>
    <m/>
    <d v="2022-12-31T00:00:00"/>
    <s v="Publicité, publications, relation publiques"/>
    <m/>
    <m/>
    <n v="50"/>
    <n v="9109.0399999999972"/>
    <s v="ADM"/>
    <x v="15"/>
    <s v="ADMINIST ET FONCT"/>
    <x v="15"/>
    <n v="623000"/>
    <n v="-50"/>
    <x v="2"/>
    <s v="Publicité, publications, Création de site web"/>
    <x v="1"/>
    <n v="62"/>
    <s v="Autres services extérieurs"/>
  </r>
  <r>
    <x v="2"/>
    <s v="BQ"/>
    <m/>
    <d v="2022-12-31T00:00:00"/>
    <s v="Déplacements, missions et réceptions"/>
    <m/>
    <m/>
    <n v="800"/>
    <n v="8309.0399999999972"/>
    <s v="ADM"/>
    <x v="16"/>
    <s v="ADMINIST ET FONCT"/>
    <x v="16"/>
    <n v="625000"/>
    <n v="-800"/>
    <x v="2"/>
    <s v="Déplacements, missions et réceptions"/>
    <x v="1"/>
    <n v="62"/>
    <s v="Autres services extérieurs"/>
  </r>
  <r>
    <x v="2"/>
    <s v="BQ"/>
    <m/>
    <d v="2022-12-31T00:00:00"/>
    <s v="Frais postaux et de télécommunications"/>
    <m/>
    <m/>
    <n v="90"/>
    <n v="8219.0399999999972"/>
    <s v="ADM"/>
    <x v="2"/>
    <s v="ADMINIST ET FONCT"/>
    <x v="2"/>
    <n v="626100"/>
    <n v="-90"/>
    <x v="2"/>
    <s v="Frais postaux"/>
    <x v="1"/>
    <n v="62"/>
    <s v="Autres services extérieurs"/>
  </r>
  <r>
    <x v="2"/>
    <s v="BQ"/>
    <m/>
    <d v="2022-12-31T00:00:00"/>
    <s v="Frais de téléphone, fax et portable"/>
    <m/>
    <m/>
    <n v="120"/>
    <n v="8099.0399999999972"/>
    <s v="ADM"/>
    <x v="17"/>
    <s v="ADMINIST ET FONCT"/>
    <x v="17"/>
    <n v="626200"/>
    <n v="-120"/>
    <x v="2"/>
    <s v="Frais de téléphone, fax et portables"/>
    <x v="1"/>
    <n v="62"/>
    <s v="Autres services extérieurs"/>
  </r>
  <r>
    <x v="2"/>
    <s v="BQ"/>
    <m/>
    <d v="2022-12-31T00:00:00"/>
    <s v="Cotisation extérieures"/>
    <m/>
    <m/>
    <n v="200"/>
    <n v="7899.0399999999972"/>
    <s v="ADM"/>
    <x v="1"/>
    <s v="ADMINIST ET FONCT"/>
    <x v="1"/>
    <n v="628100"/>
    <n v="-200"/>
    <x v="2"/>
    <s v="adhesion Hellasso"/>
    <x v="1"/>
    <n v="62"/>
    <s v="Autres services extérieurs"/>
  </r>
  <r>
    <x v="2"/>
    <s v="BQ"/>
    <m/>
    <d v="2022-12-31T00:00:00"/>
    <s v="Lomé GH Menstruelle"/>
    <m/>
    <m/>
    <n v="8100"/>
    <n v="-200.96000000000276"/>
    <s v="GHM"/>
    <x v="18"/>
    <s v="HYGIENE MENSTRUELLE"/>
    <x v="18"/>
    <n v="611000"/>
    <n v="-8100"/>
    <x v="2"/>
    <s v="Sous-traitance générale "/>
    <x v="1"/>
    <n v="61"/>
    <s v="Services extérieurs"/>
  </r>
  <r>
    <x v="2"/>
    <s v="BQ"/>
    <m/>
    <d v="2022-12-31T00:00:00"/>
    <s v="Lomé GH Menstruelle"/>
    <m/>
    <m/>
    <n v="609"/>
    <n v="-809.96000000000276"/>
    <s v="GHM"/>
    <x v="28"/>
    <s v="HYGIENE MENSTRUELLE"/>
    <x v="28"/>
    <n v="606800"/>
    <n v="-609"/>
    <x v="2"/>
    <s v="Autres matières et fournitures"/>
    <x v="1"/>
    <n v="60"/>
    <s v="Achat"/>
  </r>
  <r>
    <x v="2"/>
    <s v="BQ"/>
    <m/>
    <d v="2022-12-31T00:00:00"/>
    <s v="Lomé GH Menstruelle"/>
    <m/>
    <m/>
    <n v="1411"/>
    <n v="-2220.9600000000028"/>
    <s v="GHM"/>
    <x v="16"/>
    <s v="HYGIENE MENSTRUELLE"/>
    <x v="16"/>
    <n v="625000"/>
    <n v="-1411"/>
    <x v="2"/>
    <s v="Déplacements, missions et réceptions"/>
    <x v="1"/>
    <n v="62"/>
    <s v="Autres services extérieurs"/>
  </r>
  <r>
    <x v="2"/>
    <s v="BQ"/>
    <m/>
    <d v="2022-12-31T00:00:00"/>
    <s v="Lomé GH Menstruelle"/>
    <m/>
    <m/>
    <n v="500"/>
    <n v="-2720.9600000000028"/>
    <s v="GHM"/>
    <x v="31"/>
    <s v="HYGIENE MENSTRUELLE"/>
    <x v="31"/>
    <n v="628000"/>
    <n v="-500"/>
    <x v="2"/>
    <s v="Divers"/>
    <x v="1"/>
    <n v="62"/>
    <s v="Autres services extérieurs"/>
  </r>
  <r>
    <x v="2"/>
    <s v="BQ"/>
    <m/>
    <d v="2022-12-31T00:00:00"/>
    <s v="bénévolat GHM"/>
    <m/>
    <m/>
    <n v="2000"/>
    <n v="-4720.9600000000028"/>
    <s v="GHM"/>
    <x v="12"/>
    <s v="HYGIENE MENSTRUELLE"/>
    <x v="12"/>
    <n v="864000"/>
    <n v="-2000"/>
    <x v="2"/>
    <s v="Personnels bénévoles"/>
    <x v="1"/>
    <n v="86"/>
    <s v="Contributions volontaires"/>
  </r>
  <r>
    <x v="2"/>
    <s v="BQ"/>
    <m/>
    <d v="2022-12-31T00:00:00"/>
    <s v=" bénévolat+ AUTRES CHARGES"/>
    <m/>
    <m/>
    <n v="8440"/>
    <n v="-13160.960000000003"/>
    <s v="ADM"/>
    <x v="12"/>
    <s v="ADMINIST ET FONCT"/>
    <x v="12"/>
    <n v="864000"/>
    <n v="-8440"/>
    <x v="2"/>
    <s v="Personnels bénévoles"/>
    <x v="1"/>
    <n v="86"/>
    <s v="Contributions volontaires"/>
  </r>
  <r>
    <x v="2"/>
    <s v="BQ"/>
    <m/>
    <d v="2022-12-31T00:00:00"/>
    <s v="Produits des activités annexes (manifestations)"/>
    <m/>
    <n v="1000"/>
    <m/>
    <n v="-12160.960000000003"/>
    <s v="ADM"/>
    <x v="21"/>
    <s v="ADMINIST ET FONCT"/>
    <x v="21"/>
    <n v="708000"/>
    <n v="1000"/>
    <x v="2"/>
    <s v="Produits des activités annexes"/>
    <x v="2"/>
    <n v="70"/>
    <s v="Ventes et prestations de services"/>
  </r>
  <r>
    <x v="2"/>
    <s v="BQ"/>
    <m/>
    <d v="2022-12-31T00:00:00"/>
    <s v="GHM AMP et Gratitude"/>
    <m/>
    <n v="4000"/>
    <m/>
    <n v="-8160.9600000000028"/>
    <s v="GHM"/>
    <x v="23"/>
    <s v="HYGIENE MENSTRUELLE"/>
    <x v="23"/>
    <n v="742000"/>
    <n v="4000"/>
    <x v="2"/>
    <s v="AMP-GRATITUDE"/>
    <x v="2"/>
    <n v="74"/>
    <s v="Subventions d'exploitation"/>
  </r>
  <r>
    <x v="2"/>
    <s v="BQ"/>
    <m/>
    <d v="2022-12-31T00:00:00"/>
    <s v="subvention à solliciter  (Région NA?)"/>
    <m/>
    <n v="5000"/>
    <m/>
    <n v="-3160.9600000000028"/>
    <s v="GHM"/>
    <x v="24"/>
    <s v="HYGIENE MENSTRUELLE"/>
    <x v="24"/>
    <n v="741000"/>
    <n v="5000"/>
    <x v="2"/>
    <s v="Région Nouvelle-Aquitaine"/>
    <x v="2"/>
    <n v="74"/>
    <s v="Subventions d'exploitation"/>
  </r>
  <r>
    <x v="2"/>
    <s v="BQ"/>
    <m/>
    <d v="2022-12-31T00:00:00"/>
    <s v="Cotisation individuelles et associatives"/>
    <m/>
    <n v="840"/>
    <m/>
    <n v="-2320.9600000000028"/>
    <s v="ADM"/>
    <x v="4"/>
    <s v="ADMINIST ET FONCT"/>
    <x v="4"/>
    <n v="777100"/>
    <n v="840"/>
    <x v="2"/>
    <s v="Dons et autres mises à dispositions gratuites"/>
    <x v="2"/>
    <n v="77"/>
    <s v="Produits exceptionnels"/>
  </r>
  <r>
    <x v="2"/>
    <s v="BQ"/>
    <m/>
    <d v="2022-12-31T00:00:00"/>
    <s v="Dons et autres à solliciter"/>
    <m/>
    <n v="276.23"/>
    <m/>
    <n v="-2044.7300000000027"/>
    <s v="GHM"/>
    <x v="7"/>
    <s v="HYGIENE MENSTRUELLE"/>
    <x v="7"/>
    <n v="758100"/>
    <n v="276.23"/>
    <x v="2"/>
    <s v="Cotisations individuelles et associatives"/>
    <x v="2"/>
    <n v="75"/>
    <s v="Autres produits de gestion courante"/>
  </r>
  <r>
    <x v="2"/>
    <s v="BQ"/>
    <m/>
    <d v="2022-12-31T00:00:00"/>
    <s v="bénévolat gHM"/>
    <m/>
    <n v="2000"/>
    <m/>
    <n v="-44.730000000002747"/>
    <s v="GHM"/>
    <x v="9"/>
    <s v="HYGIENE MENSTRUELLE"/>
    <x v="9"/>
    <n v="870000"/>
    <n v="2000"/>
    <x v="2"/>
    <s v="Bénévolat"/>
    <x v="2"/>
    <n v="87"/>
    <s v="Contributions volontaires"/>
  </r>
  <r>
    <x v="2"/>
    <s v="BQ"/>
    <m/>
    <d v="2022-12-31T00:00:00"/>
    <s v="Bénévolat + autres charges"/>
    <m/>
    <n v="8440"/>
    <m/>
    <n v="8395.2699999999968"/>
    <s v="ADM"/>
    <x v="9"/>
    <s v="ADMINIST ET FONCT"/>
    <x v="9"/>
    <n v="870000"/>
    <n v="8440"/>
    <x v="2"/>
    <s v="Bénévolat"/>
    <x v="2"/>
    <n v="87"/>
    <s v="Contributions volontaires"/>
  </r>
  <r>
    <x v="2"/>
    <s v="BQ"/>
    <n v="2"/>
    <d v="2022-01-28T00:00:00"/>
    <s v="CHEQUE EMIS            poste _x000a_0675367/0000000/000000000 "/>
    <s v="Alain PONS "/>
    <m/>
    <n v="69.599999999999994"/>
    <n v="8325.6699999999964"/>
    <s v="DT5"/>
    <x v="2"/>
    <s v="DASSOUTE TEUILLAC CANTINE"/>
    <x v="2"/>
    <n v="626100"/>
    <n v="-69.599999999999994"/>
    <x v="2"/>
    <s v="Frais postaux"/>
    <x v="1"/>
    <n v="62"/>
    <s v="Autres services extérieurs"/>
  </r>
  <r>
    <x v="2"/>
    <s v="BQ"/>
    <n v="3"/>
    <d v="2022-01-28T00:00:00"/>
    <s v="CHEQUE EMIS          poste   _x000a_0675366/0000000/000000000 "/>
    <s v="Alain PONS"/>
    <m/>
    <n v="62.9"/>
    <n v="8262.7699999999968"/>
    <s v="DT5"/>
    <x v="26"/>
    <s v="DASSOUTE TEUILLAC CANTINE"/>
    <x v="26"/>
    <n v="624000"/>
    <n v="-62.9"/>
    <x v="2"/>
    <s v="Transports"/>
    <x v="1"/>
    <n v="62"/>
    <s v="Charges de personnel"/>
  </r>
  <r>
    <x v="2"/>
    <s v="BQ"/>
    <n v="9"/>
    <d v="2022-02-05T00:00:00"/>
    <s v="Reminse de chèque  1505 fraternité"/>
    <s v="2A2D"/>
    <n v="100"/>
    <m/>
    <n v="8362.7699999999968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10"/>
    <d v="2022-02-05T00:00:00"/>
    <s v="REMISE DE CHEQUE 0443 fraternité"/>
    <s v="2A2D"/>
    <n v="60"/>
    <m/>
    <n v="8422.7699999999968"/>
    <s v="DT5"/>
    <x v="4"/>
    <s v="DASSOUTE TEUILLAC CANTINE"/>
    <x v="4"/>
    <n v="777100"/>
    <n v="60"/>
    <x v="2"/>
    <s v="Dons et autres mises à dispositions gratuites"/>
    <x v="2"/>
    <n v="77"/>
    <s v="Produits exceptionnels"/>
  </r>
  <r>
    <x v="2"/>
    <s v="BQ"/>
    <n v="11"/>
    <d v="2022-02-05T00:00:00"/>
    <s v="REMISE DE CHEQUE 2635977 fraternité"/>
    <s v="2A2D"/>
    <n v="100"/>
    <m/>
    <n v="8522.7699999999968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14"/>
    <d v="2022-02-27T00:00:00"/>
    <s v="Chèque émi 0675370"/>
    <s v="Alain PONS"/>
    <m/>
    <n v="153.9"/>
    <n v="8368.8699999999972"/>
    <s v="DT5"/>
    <x v="16"/>
    <s v="DASSOUTE TEUILLAC CANTINE"/>
    <x v="16"/>
    <n v="625000"/>
    <n v="-153.9"/>
    <x v="2"/>
    <s v="Déplacements, missions et réceptions"/>
    <x v="1"/>
    <n v="62"/>
    <s v="Autres services extérieurs"/>
  </r>
  <r>
    <x v="2"/>
    <s v="BQ"/>
    <n v="15"/>
    <d v="2022-02-27T00:00:00"/>
    <s v="Chèque émi 0675371"/>
    <s v="Alain PONS"/>
    <m/>
    <n v="123.9"/>
    <n v="8244.9699999999975"/>
    <s v="DT5"/>
    <x v="16"/>
    <s v="DASSOUTE TEUILLAC CANTINE"/>
    <x v="16"/>
    <n v="625000"/>
    <n v="-123.9"/>
    <x v="2"/>
    <s v="Déplacements, missions et réceptions"/>
    <x v="1"/>
    <n v="62"/>
    <s v="Autres services extérieurs"/>
  </r>
  <r>
    <x v="2"/>
    <s v="BQ"/>
    <n v="16"/>
    <d v="2022-02-27T00:00:00"/>
    <s v="Remise de chèque 1506  (PONS cantine)"/>
    <s v="2A2D"/>
    <n v="150"/>
    <m/>
    <n v="8394.9699999999975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2"/>
    <s v="BQ"/>
    <n v="17"/>
    <d v="2022-02-27T00:00:00"/>
    <s v="Remise de chèq 200501040B  (Corrieras cantine)"/>
    <m/>
    <n v="50"/>
    <m/>
    <n v="8444.9699999999975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20"/>
    <d v="2022-03-18T00:00:00"/>
    <s v="Remise de chèque, 3208669,PONS"/>
    <s v="2A2D"/>
    <n v="140"/>
    <m/>
    <n v="8584.9699999999975"/>
    <s v="DT5"/>
    <x v="4"/>
    <s v="DASSOUTE TEUILLAC CANTINE"/>
    <x v="4"/>
    <n v="777100"/>
    <n v="140"/>
    <x v="2"/>
    <s v="Dons et autres mises à dispositions gratuites"/>
    <x v="2"/>
    <n v="77"/>
    <s v="Produits exceptionnels"/>
  </r>
  <r>
    <x v="2"/>
    <s v="BQ"/>
    <n v="21"/>
    <d v="2022-03-17T00:00:00"/>
    <s v="Remise de chèque, 447 Piton Jacques"/>
    <s v="2A2D"/>
    <n v="60"/>
    <m/>
    <n v="8644.9699999999975"/>
    <s v="DT5"/>
    <x v="4"/>
    <s v="DASSOUTE TEUILLAC CANTINE"/>
    <x v="4"/>
    <n v="777100"/>
    <n v="60"/>
    <x v="2"/>
    <s v="Dons et autres mises à dispositions gratuites"/>
    <x v="2"/>
    <n v="77"/>
    <s v="Produits exceptionnels"/>
  </r>
  <r>
    <x v="2"/>
    <s v="BQ"/>
    <n v="26"/>
    <d v="2022-04-07T00:00:00"/>
    <s v="Remise de chèque, 5472813,Gateau"/>
    <s v="2A2D"/>
    <n v="100"/>
    <m/>
    <n v="8744.9699999999975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27"/>
    <d v="2022-04-07T00:00:00"/>
    <s v="Remise de chèque, 3208672,Pons"/>
    <s v="2A2D"/>
    <n v="150"/>
    <m/>
    <n v="8894.9699999999975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2"/>
    <s v="BQ"/>
    <n v="28"/>
    <d v="2022-04-07T00:00:00"/>
    <s v="Remise de chèque,1313991, Hetier"/>
    <s v="2A2D"/>
    <n v="50"/>
    <m/>
    <n v="8944.9699999999975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29"/>
    <d v="2022-04-07T00:00:00"/>
    <s v="Remise de chèque, 2420054,Royon"/>
    <s v="2A2D"/>
    <n v="25"/>
    <m/>
    <n v="8969.9699999999975"/>
    <s v="DT5"/>
    <x v="4"/>
    <s v="DASSOUTE TEUILLAC CANTINE"/>
    <x v="4"/>
    <n v="777100"/>
    <n v="25"/>
    <x v="2"/>
    <s v="Dons et autres mises à dispositions gratuites"/>
    <x v="2"/>
    <n v="77"/>
    <s v="Produits exceptionnels"/>
  </r>
  <r>
    <x v="2"/>
    <s v="BQ"/>
    <n v="30"/>
    <d v="2022-04-07T00:00:00"/>
    <s v="Remise de chèque, 3208670,Pons"/>
    <s v="2A2D"/>
    <n v="10"/>
    <m/>
    <n v="8979.9699999999975"/>
    <s v="DT5"/>
    <x v="4"/>
    <s v="DASSOUTE TEUILLAC CANTINE"/>
    <x v="4"/>
    <n v="777100"/>
    <n v="10"/>
    <x v="2"/>
    <s v="Dons et autres mises à dispositions gratuites"/>
    <x v="2"/>
    <n v="77"/>
    <s v="Produits exceptionnels"/>
  </r>
  <r>
    <x v="2"/>
    <s v="BQ"/>
    <n v="31"/>
    <d v="2022-04-07T00:00:00"/>
    <s v="Remise de chèque, 32335,Herreboudt"/>
    <s v="2A2D"/>
    <n v="50"/>
    <m/>
    <n v="9029.9699999999975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32"/>
    <d v="2022-04-07T00:00:00"/>
    <s v="Remise de chèque, 4155642, Lebo"/>
    <s v="2A2D"/>
    <n v="30"/>
    <m/>
    <n v="9059.9699999999975"/>
    <s v="DT5"/>
    <x v="4"/>
    <s v="DASSOUTE TEUILLAC CANTINE"/>
    <x v="4"/>
    <n v="777100"/>
    <n v="30"/>
    <x v="2"/>
    <s v="Dons et autres mises à dispositions gratuites"/>
    <x v="2"/>
    <n v="77"/>
    <s v="Produits exceptionnels"/>
  </r>
  <r>
    <x v="2"/>
    <s v="BQ"/>
    <n v="33"/>
    <d v="2022-04-07T00:00:00"/>
    <s v="Remise de chèque, 053, Kirat"/>
    <s v="2A2D"/>
    <n v="100"/>
    <m/>
    <n v="9159.9699999999975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34"/>
    <d v="2022-04-07T00:00:00"/>
    <s v="Remise de chèque, 0989, Besset-Louis"/>
    <s v="2A2D"/>
    <n v="50"/>
    <m/>
    <n v="9209.9699999999975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34"/>
    <d v="2022-04-07T00:00:00"/>
    <s v="Remise de chèque à valider"/>
    <s v="2A2D"/>
    <n v="90"/>
    <m/>
    <n v="9299.9699999999975"/>
    <s v="DT5"/>
    <x v="4"/>
    <s v="DASSOUTE TEUILLAC CANTINE"/>
    <x v="4"/>
    <n v="777100"/>
    <n v="90"/>
    <x v="2"/>
    <s v="Dons et autres mises à dispositions gratuites"/>
    <x v="2"/>
    <n v="77"/>
    <s v="Produits exceptionnels"/>
  </r>
  <r>
    <x v="2"/>
    <s v="BQ"/>
    <n v="35"/>
    <d v="2022-04-07T00:00:00"/>
    <s v="Remise de chèque, 7773651, Jasmin"/>
    <s v="2A2D"/>
    <n v="30"/>
    <m/>
    <n v="9329.9699999999975"/>
    <s v="DT5"/>
    <x v="4"/>
    <s v="DASSOUTE TEUILLAC CANTINE"/>
    <x v="4"/>
    <n v="777100"/>
    <n v="30"/>
    <x v="2"/>
    <s v="Dons et autres mises à dispositions gratuites"/>
    <x v="2"/>
    <n v="77"/>
    <s v="Produits exceptionnels"/>
  </r>
  <r>
    <x v="2"/>
    <s v="BQ"/>
    <n v="36"/>
    <d v="2022-04-20T00:00:00"/>
    <s v="Remise de chèque,1509, Alain Pons"/>
    <s v="2A2D"/>
    <n v="350"/>
    <m/>
    <n v="9679.9699999999975"/>
    <s v="DT5"/>
    <x v="4"/>
    <s v="DASSOUTE TEUILLAC CANTINE"/>
    <x v="4"/>
    <n v="777100"/>
    <n v="350"/>
    <x v="2"/>
    <s v="Dons et autres mises à dispositions gratuites"/>
    <x v="2"/>
    <n v="77"/>
    <s v="Produits exceptionnels"/>
  </r>
  <r>
    <x v="2"/>
    <s v="BQ"/>
    <n v="37"/>
    <d v="2022-04-20T00:00:00"/>
    <s v="Remise de chèque,1508, Alain Pons"/>
    <s v="2A2D"/>
    <n v="210"/>
    <m/>
    <n v="9889.9699999999975"/>
    <s v="DT5"/>
    <x v="4"/>
    <s v="DASSOUTE TEUILLAC CANTINE"/>
    <x v="4"/>
    <n v="777100"/>
    <n v="210"/>
    <x v="2"/>
    <s v="Dons et autres mises à dispositions gratuites"/>
    <x v="2"/>
    <n v="77"/>
    <s v="Produits exceptionnels"/>
  </r>
  <r>
    <x v="2"/>
    <s v="BQ"/>
    <n v="42"/>
    <d v="2022-04-21T00:00:00"/>
    <s v="Remise de Chèque 1508, Alain PONS"/>
    <s v="2A2D"/>
    <n v="210"/>
    <m/>
    <n v="10099.969999999998"/>
    <s v="DT5"/>
    <x v="4"/>
    <s v="DASSOUTE TEUILLAC CANTINE"/>
    <x v="4"/>
    <n v="777100"/>
    <n v="210"/>
    <x v="2"/>
    <s v="Dons et autres mises à dispositions gratuites"/>
    <x v="2"/>
    <n v="77"/>
    <s v="Produits exceptionnels"/>
  </r>
  <r>
    <x v="2"/>
    <s v="BQ"/>
    <n v="43"/>
    <d v="2022-05-17T00:00:00"/>
    <s v="Virement département collège Dassoute  160330900001002022-05-1330561    "/>
    <s v="2A2D"/>
    <n v="15000"/>
    <m/>
    <n v="25099.969999999998"/>
    <s v="DT5"/>
    <x v="34"/>
    <s v="DASSOUTE TEUILLAC CANTINE"/>
    <x v="34"/>
    <n v="748000"/>
    <n v="15000"/>
    <x v="2"/>
    <s v="Mairie de Teuillac"/>
    <x v="2"/>
    <n v="74"/>
    <s v="Subventions d'exploitation"/>
  </r>
  <r>
    <x v="2"/>
    <s v="BQ"/>
    <n v="44"/>
    <d v="2022-05-19T00:00:00"/>
    <s v="Remise de chèque par Alain, 3536029 "/>
    <s v="2A2D"/>
    <n v="810"/>
    <m/>
    <n v="25909.969999999998"/>
    <s v="DT5"/>
    <x v="4"/>
    <s v="DASSOUTE TEUILLAC CANTINE"/>
    <x v="4"/>
    <n v="777100"/>
    <n v="810"/>
    <x v="2"/>
    <s v="Dons et autres mises à dispositions gratuites"/>
    <x v="2"/>
    <n v="77"/>
    <s v="Produits exceptionnels"/>
  </r>
  <r>
    <x v="2"/>
    <s v="BQ"/>
    <n v="45"/>
    <d v="2022-05-19T00:00:00"/>
    <s v="Virement IDAAFE, engrais-Cantine E2202010565"/>
    <s v="IDAAFE"/>
    <m/>
    <n v="2250"/>
    <n v="23659.969999999998"/>
    <s v="DT5"/>
    <x v="20"/>
    <s v="DASSOUTE TEUILLAC CANTINE"/>
    <x v="20"/>
    <n v="607100"/>
    <n v="-2250"/>
    <x v="2"/>
    <s v="Achats fournitures et matériels"/>
    <x v="1"/>
    <n v="60"/>
    <s v="Services extérieurs"/>
  </r>
  <r>
    <x v="2"/>
    <s v="BQ"/>
    <n v="46"/>
    <d v="2022-05-19T00:00:00"/>
    <s v="Frais de virement IDAAFE E2202010565"/>
    <s v="Crédit Agricole"/>
    <m/>
    <n v="18.399999999999999"/>
    <n v="23641.569999999996"/>
    <s v="DT5"/>
    <x v="25"/>
    <s v="DASSOUTE TEUILLAC CANTINE"/>
    <x v="25"/>
    <n v="627000"/>
    <n v="-18.399999999999999"/>
    <x v="2"/>
    <s v="Frais bancaires"/>
    <x v="1"/>
    <n v="62"/>
    <s v="Autres services extérieurs"/>
  </r>
  <r>
    <x v="2"/>
    <s v="BQ"/>
    <n v="47"/>
    <d v="2022-05-19T00:00:00"/>
    <s v="Chèque émi, 0675374, Voyage Eloi"/>
    <s v="Alain PONS"/>
    <m/>
    <n v="1271.69"/>
    <n v="22369.879999999997"/>
    <s v="DT5"/>
    <x v="16"/>
    <s v="DASSOUTE TEUILLAC CANTINE"/>
    <x v="16"/>
    <n v="625000"/>
    <n v="-1271.69"/>
    <x v="2"/>
    <s v="Déplacements, missions et réceptions"/>
    <x v="1"/>
    <n v="62"/>
    <s v="Autres services extérieurs"/>
  </r>
  <r>
    <x v="2"/>
    <s v="BQ"/>
    <n v="50"/>
    <d v="2022-07-23T00:00:00"/>
    <s v="CHEQUE EMIS             _x000a_4055744/0000000/000000000 "/>
    <m/>
    <m/>
    <n v="275"/>
    <n v="22094.879999999997"/>
    <s v="DT5"/>
    <x v="28"/>
    <s v="DASSOUTE TEUILLAC CANTINE"/>
    <x v="28"/>
    <n v="606800"/>
    <n v="-275"/>
    <x v="2"/>
    <s v="Autres matières et fournitures"/>
    <x v="1"/>
    <n v="60"/>
    <s v="Achat"/>
  </r>
  <r>
    <x v="2"/>
    <s v="BQ"/>
    <n v="53"/>
    <d v="2022-07-15T00:00:00"/>
    <s v="REMISE DE CHEQUE        _x000a_2941638 "/>
    <m/>
    <n v="100"/>
    <m/>
    <n v="22194.879999999997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54"/>
    <d v="2022-07-11T00:00:00"/>
    <s v="VIREMENT EN VOTRE FAVEUR_x000a_LEMONWAY LEWSCTU890115 HELLOASSO-18618964 824943 _x000a_LEWSCTU890115                      "/>
    <m/>
    <n v="60"/>
    <m/>
    <n v="22254.879999999997"/>
    <s v="DT5"/>
    <x v="4"/>
    <s v="DASSOUTE TEUILLAC CANTINE"/>
    <x v="4"/>
    <n v="777100"/>
    <n v="60"/>
    <x v="2"/>
    <s v="Dons et autres mises à dispositions gratuites"/>
    <x v="2"/>
    <n v="77"/>
    <s v="Produits exceptionnels"/>
  </r>
  <r>
    <x v="2"/>
    <s v="BQ"/>
    <n v="55"/>
    <d v="2022-07-07T00:00:00"/>
    <s v="PRELEVEMENT             _x000a_COM DE TRANSFERT E2202014450 "/>
    <m/>
    <m/>
    <n v="18.399999999999999"/>
    <n v="22236.479999999996"/>
    <s v="DT5"/>
    <x v="25"/>
    <s v="DASSOUTE TEUILLAC CANTINE"/>
    <x v="25"/>
    <n v="627000"/>
    <n v="-18.399999999999999"/>
    <x v="2"/>
    <s v="Frais bancaires"/>
    <x v="1"/>
    <n v="62"/>
    <s v="Autres services extérieurs"/>
  </r>
  <r>
    <x v="2"/>
    <s v="BQ"/>
    <n v="56"/>
    <d v="2022-07-07T00:00:00"/>
    <s v="VI EMIS A L'ETRANGER    _x000a_E2202014450 ASSOCIATION IDAAFE "/>
    <m/>
    <m/>
    <n v="10756"/>
    <n v="11480.479999999996"/>
    <s v="DT5"/>
    <x v="18"/>
    <s v="DASSOUTE TEUILLAC CANTINE"/>
    <x v="18"/>
    <n v="611000"/>
    <n v="-10756"/>
    <x v="2"/>
    <s v="Sous-traitance générale "/>
    <x v="1"/>
    <n v="61"/>
    <s v="Services extérieurs"/>
  </r>
  <r>
    <x v="2"/>
    <s v="BQ"/>
    <n v="57"/>
    <d v="2022-07-07T00:00:00"/>
    <s v="REMISE DE CHEQUE        _x000a_2941637 "/>
    <m/>
    <n v="200"/>
    <m/>
    <n v="11680.479999999996"/>
    <s v="DT5"/>
    <x v="4"/>
    <s v="DASSOUTE TEUILLAC CANTINE"/>
    <x v="4"/>
    <n v="777100"/>
    <n v="200"/>
    <x v="2"/>
    <s v="Dons et autres mises à dispositions gratuites"/>
    <x v="2"/>
    <n v="77"/>
    <s v="Produits exceptionnels"/>
  </r>
  <r>
    <x v="2"/>
    <s v="BQ"/>
    <n v="58"/>
    <d v="2022-06-29T00:00:00"/>
    <s v="REMISE DE CHEQUE        _x000a_2941636 "/>
    <m/>
    <n v="700"/>
    <m/>
    <n v="12380.479999999996"/>
    <s v="DT5"/>
    <x v="4"/>
    <s v="DASSOUTE TEUILLAC CANTINE"/>
    <x v="4"/>
    <n v="777100"/>
    <n v="700"/>
    <x v="2"/>
    <s v="Dons et autres mises à dispositions gratuites"/>
    <x v="2"/>
    <n v="77"/>
    <s v="Produits exceptionnels"/>
  </r>
  <r>
    <x v="2"/>
    <s v="BQ"/>
    <n v="59"/>
    <d v="2022-06-29T00:00:00"/>
    <s v="REMISE DE CHEQUE        _x000a_2941634 "/>
    <m/>
    <n v="300"/>
    <m/>
    <n v="12680.479999999996"/>
    <s v="DT5"/>
    <x v="4"/>
    <s v="DASSOUTE TEUILLAC CANTINE"/>
    <x v="4"/>
    <n v="777100"/>
    <n v="300"/>
    <x v="2"/>
    <s v="Dons et autres mises à dispositions gratuites"/>
    <x v="2"/>
    <n v="77"/>
    <s v="Produits exceptionnels"/>
  </r>
  <r>
    <x v="2"/>
    <s v="BQ"/>
    <n v="60"/>
    <d v="2022-06-28T00:00:00"/>
    <s v="REMISE DE CHEQUE        _x000a_2941633 "/>
    <m/>
    <n v="825"/>
    <m/>
    <n v="13505.479999999996"/>
    <s v="DT5"/>
    <x v="4"/>
    <s v="DASSOUTE TEUILLAC CANTINE"/>
    <x v="4"/>
    <n v="777100"/>
    <n v="825"/>
    <x v="2"/>
    <s v="Dons et autres mises à dispositions gratuites"/>
    <x v="2"/>
    <n v="77"/>
    <s v="Produits exceptionnels"/>
  </r>
  <r>
    <x v="2"/>
    <s v="BQ"/>
    <n v="61"/>
    <d v="2022-06-28T00:00:00"/>
    <s v="VERSEMENT D'ESPECES     _x000a_BOURG SUR GIRO 3108254 093942 "/>
    <m/>
    <n v="400"/>
    <m/>
    <n v="13905.479999999996"/>
    <s v="DT5"/>
    <x v="4"/>
    <s v="DASSOUTE TEUILLAC CANTINE"/>
    <x v="4"/>
    <n v="777100"/>
    <n v="400"/>
    <x v="2"/>
    <s v="Dons et autres mises à dispositions gratuites"/>
    <x v="2"/>
    <n v="77"/>
    <s v="Produits exceptionnels"/>
  </r>
  <r>
    <x v="2"/>
    <s v="BQ"/>
    <n v="62"/>
    <d v="2022-06-18T00:00:00"/>
    <s v="REMISE DE CHEQUE        _x000a_2941635 "/>
    <m/>
    <n v="300"/>
    <m/>
    <n v="14205.479999999996"/>
    <s v="DT5"/>
    <x v="4"/>
    <s v="DASSOUTE TEUILLAC CANTINE"/>
    <x v="4"/>
    <n v="777100"/>
    <n v="300"/>
    <x v="2"/>
    <s v="Dons et autres mises à dispositions gratuites"/>
    <x v="2"/>
    <n v="77"/>
    <s v="Produits exceptionnels"/>
  </r>
  <r>
    <x v="2"/>
    <s v="BQ"/>
    <n v="63"/>
    <d v="2022-06-18T00:00:00"/>
    <s v="REMISE DE CHEQUE        _x000a_2941639 "/>
    <m/>
    <n v="50"/>
    <m/>
    <n v="14255.479999999996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64"/>
    <d v="2022-06-18T00:00:00"/>
    <s v="REMISE DE CHEQUE        _x000a_2941642 "/>
    <m/>
    <n v="1000"/>
    <m/>
    <n v="15255.479999999996"/>
    <s v="DT5"/>
    <x v="4"/>
    <s v="DASSOUTE TEUILLAC CANTINE"/>
    <x v="4"/>
    <n v="777100"/>
    <n v="1000"/>
    <x v="2"/>
    <s v="Dons et autres mises à dispositions gratuites"/>
    <x v="2"/>
    <n v="77"/>
    <s v="Produits exceptionnels"/>
  </r>
  <r>
    <x v="2"/>
    <s v="BQ"/>
    <n v="65"/>
    <d v="2022-06-15T00:00:00"/>
    <s v="REMISE DE CHEQUE        _x000a_2941653 "/>
    <m/>
    <n v="40"/>
    <m/>
    <n v="15295.479999999996"/>
    <s v="DT5"/>
    <x v="4"/>
    <s v="DASSOUTE TEUILLAC CANTINE"/>
    <x v="4"/>
    <n v="777100"/>
    <n v="40"/>
    <x v="2"/>
    <s v="Dons et autres mises à dispositions gratuites"/>
    <x v="2"/>
    <n v="77"/>
    <s v="Produits exceptionnels"/>
  </r>
  <r>
    <x v="2"/>
    <s v="BQ"/>
    <n v="66"/>
    <d v="2022-06-14T00:00:00"/>
    <s v="REMISE DE CHEQUE        _x000a_2941649 "/>
    <m/>
    <n v="50"/>
    <m/>
    <n v="15345.479999999996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67"/>
    <d v="2022-06-14T00:00:00"/>
    <s v="REMISE DE CHEQUE        _x000a_2941650 "/>
    <m/>
    <n v="100"/>
    <m/>
    <n v="15445.479999999996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68"/>
    <d v="2022-06-14T00:00:00"/>
    <s v="REMISE DE CHEQUE        _x000a_2941651 "/>
    <m/>
    <n v="150"/>
    <m/>
    <n v="15595.479999999996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2"/>
    <s v="BQ"/>
    <n v="69"/>
    <d v="2022-06-07T00:00:00"/>
    <s v="REMISE DE CHEQUE        _x000a_2941648 "/>
    <m/>
    <n v="50"/>
    <m/>
    <n v="15645.479999999996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70"/>
    <d v="2022-06-01T00:00:00"/>
    <s v="REMISE DE CHEQUE        _x000a_2941644 "/>
    <m/>
    <n v="50"/>
    <m/>
    <n v="15695.479999999996"/>
    <s v="DT5"/>
    <x v="4"/>
    <s v="DASSOUTE TEUILLAC CANTINE"/>
    <x v="4"/>
    <n v="777100"/>
    <n v="50"/>
    <x v="2"/>
    <s v="Dons et autres mises à dispositions gratuites"/>
    <x v="2"/>
    <n v="77"/>
    <s v="Produits exceptionnels"/>
  </r>
  <r>
    <x v="2"/>
    <s v="BQ"/>
    <n v="71"/>
    <d v="2022-06-01T00:00:00"/>
    <s v="REMISE DE CHEQUE        _x000a_2941645 "/>
    <m/>
    <n v="1500"/>
    <m/>
    <n v="17195.479999999996"/>
    <s v="DT5"/>
    <x v="4"/>
    <s v="DASSOUTE TEUILLAC CANTINE"/>
    <x v="4"/>
    <n v="777100"/>
    <n v="1500"/>
    <x v="2"/>
    <s v="Dons et autres mises à dispositions gratuites"/>
    <x v="2"/>
    <n v="77"/>
    <s v="Produits exceptionnels"/>
  </r>
  <r>
    <x v="2"/>
    <s v="BQ"/>
    <n v="72"/>
    <d v="2022-06-01T00:00:00"/>
    <s v="REMISE DE CHEQUE        _x000a_2941652 "/>
    <m/>
    <n v="150"/>
    <m/>
    <n v="17345.479999999996"/>
    <s v="DT5"/>
    <x v="4"/>
    <s v="DASSOUTE TEUILLAC CANTINE"/>
    <x v="4"/>
    <n v="777100"/>
    <n v="150"/>
    <x v="2"/>
    <s v="Dons et autres mises à dispositions gratuites"/>
    <x v="2"/>
    <n v="77"/>
    <s v="Produits exceptionnels"/>
  </r>
  <r>
    <x v="2"/>
    <s v="BQ"/>
    <n v="73"/>
    <d v="2022-07-27T00:00:00"/>
    <s v="REMISE DE CHEQUE        _x000a_2941640 "/>
    <s v="Fraternité"/>
    <n v="100"/>
    <m/>
    <n v="17445.479999999996"/>
    <s v="DT5"/>
    <x v="4"/>
    <s v="DASSOUTE TEUILLAC CANTINE"/>
    <x v="4"/>
    <n v="777100"/>
    <n v="100"/>
    <x v="2"/>
    <s v="Dons et autres mises à dispositions gratuites"/>
    <x v="2"/>
    <n v="77"/>
    <s v="Produits exceptionnels"/>
  </r>
  <r>
    <x v="2"/>
    <s v="BQ"/>
    <n v="74"/>
    <d v="2022-08-04T00:00:00"/>
    <s v="VI EMIS A L'ETRANGER    _x000a_E2202016402 ASSOCIATION IDAAFE "/>
    <s v="Fraternité"/>
    <m/>
    <n v="8310"/>
    <n v="9135.4799999999959"/>
    <s v="DT5"/>
    <x v="18"/>
    <s v="DASSOUTE TEUILLAC CANTINE"/>
    <x v="18"/>
    <n v="611000"/>
    <n v="-8310"/>
    <x v="2"/>
    <s v="Sous-traitance générale "/>
    <x v="1"/>
    <n v="61"/>
    <s v="Services extérieurs"/>
  </r>
  <r>
    <x v="2"/>
    <s v="BQ"/>
    <n v="75"/>
    <d v="2022-08-04T00:00:00"/>
    <s v="PRELEVEMENT             _x000a_COM DE TRANSFERT E2202016402 "/>
    <m/>
    <m/>
    <n v="18.399999999999999"/>
    <n v="9117.0799999999963"/>
    <s v="DT5"/>
    <x v="25"/>
    <s v="DASSOUTE TEUILLAC CANTINE"/>
    <x v="25"/>
    <n v="627000"/>
    <n v="-18.399999999999999"/>
    <x v="2"/>
    <s v="Frais bancaires"/>
    <x v="1"/>
    <n v="62"/>
    <s v="Autres services extérieurs"/>
  </r>
  <r>
    <x v="2"/>
    <s v="BQ"/>
    <n v="77"/>
    <d v="2022-08-22T00:00:00"/>
    <s v="Solde avec la Fraternité FDT chèque 4055719"/>
    <m/>
    <m/>
    <n v="1462.07"/>
    <n v="7655.0099999999966"/>
    <s v="DT5"/>
    <x v="35"/>
    <s v="DASSOUTE TEUILLAC CANTINE"/>
    <x v="35"/>
    <n v="670000"/>
    <n v="-1462.07"/>
    <x v="2"/>
    <s v="Charges exceptionnelles"/>
    <x v="1"/>
    <n v="67"/>
    <s v="charges exceptionnelles"/>
  </r>
  <r>
    <x v="2"/>
    <s v="BQ"/>
    <m/>
    <d v="2022-12-31T00:00:00"/>
    <s v="Frais de Formation des enseignants"/>
    <m/>
    <m/>
    <n v="1800"/>
    <n v="5855.0099999999966"/>
    <s v="TE"/>
    <x v="32"/>
    <s v="TOILETTES ECOSAN"/>
    <x v="32"/>
    <n v="622800"/>
    <n v="-1800"/>
    <x v="2"/>
    <s v="Frais de formation"/>
    <x v="1"/>
    <n v="62"/>
    <s v="Autres services extérieurs"/>
  </r>
  <r>
    <x v="2"/>
    <s v="BQ"/>
    <m/>
    <d v="2022-12-31T00:00:00"/>
    <s v="Frais de Sensibilisation parents d'élèves"/>
    <m/>
    <m/>
    <n v="450"/>
    <n v="5405.0099999999966"/>
    <s v="TE"/>
    <x v="32"/>
    <s v="TOILETTES ECOSAN"/>
    <x v="32"/>
    <n v="622800"/>
    <n v="-450"/>
    <x v="2"/>
    <s v="Frais de formation"/>
    <x v="1"/>
    <n v="62"/>
    <s v="Autres services extérieurs"/>
  </r>
  <r>
    <x v="2"/>
    <s v="BQ"/>
    <m/>
    <d v="2022-12-31T00:00:00"/>
    <s v="Frais de Formations CSC"/>
    <m/>
    <m/>
    <n v="3500"/>
    <n v="1905.0099999999966"/>
    <s v="TE"/>
    <x v="32"/>
    <s v="TOILETTES ECOSAN"/>
    <x v="32"/>
    <n v="622800"/>
    <n v="-3500"/>
    <x v="2"/>
    <s v="Frais de formation"/>
    <x v="1"/>
    <n v="62"/>
    <s v="Autres services extérieurs"/>
  </r>
  <r>
    <x v="2"/>
    <s v="BQ"/>
    <m/>
    <d v="2022-12-31T00:00:00"/>
    <s v="Organisation théâtre forum"/>
    <m/>
    <m/>
    <n v="3200"/>
    <n v="-1294.9900000000034"/>
    <s v="TE"/>
    <x v="18"/>
    <s v="TOILETTES ECOSAN"/>
    <x v="18"/>
    <n v="611000"/>
    <n v="-3200"/>
    <x v="2"/>
    <s v="Sous-traitance générale "/>
    <x v="1"/>
    <n v="61"/>
    <s v="Services extérieurs"/>
  </r>
  <r>
    <x v="2"/>
    <s v="BQ"/>
    <m/>
    <d v="2022-12-31T00:00:00"/>
    <s v="ateliers pédagogiquespar un Graff "/>
    <m/>
    <m/>
    <n v="1600"/>
    <n v="-2894.9900000000034"/>
    <s v="TE"/>
    <x v="18"/>
    <s v="TOILETTES ECOSAN"/>
    <x v="18"/>
    <n v="611000"/>
    <n v="-1600"/>
    <x v="2"/>
    <s v="Sous-traitance générale "/>
    <x v="1"/>
    <n v="61"/>
    <s v="Services extérieurs"/>
  </r>
  <r>
    <x v="2"/>
    <s v="BQ"/>
    <m/>
    <d v="2022-12-31T00:00:00"/>
    <s v="ancement des travaux en présence des autorités locales "/>
    <m/>
    <m/>
    <n v="310"/>
    <n v="-3204.9900000000034"/>
    <s v="TE"/>
    <x v="32"/>
    <s v="TOILETTES ECOSAN"/>
    <x v="32"/>
    <n v="622800"/>
    <n v="-310"/>
    <x v="2"/>
    <s v="Frais de formation"/>
    <x v="1"/>
    <n v="62"/>
    <s v="Autres services extérieurs"/>
  </r>
  <r>
    <x v="2"/>
    <s v="BQ"/>
    <m/>
    <d v="2022-12-31T00:00:00"/>
    <s v="Nétoyage de 2 sanitaires existants pour la rénovation "/>
    <m/>
    <m/>
    <n v="4495"/>
    <n v="-7699.9900000000034"/>
    <s v="TE"/>
    <x v="37"/>
    <s v="TOILETTES ECOSAN"/>
    <x v="37"/>
    <n v="615000"/>
    <n v="-4495"/>
    <x v="2"/>
    <s v="Entretien et réparations"/>
    <x v="1"/>
    <n v="61"/>
    <s v="Services extérieurs"/>
  </r>
  <r>
    <x v="2"/>
    <s v="BQ"/>
    <m/>
    <d v="2022-12-31T00:00:00"/>
    <s v="Rénovation de 2 sanitaires "/>
    <m/>
    <m/>
    <n v="9146"/>
    <n v="-16845.990000000005"/>
    <s v="TE"/>
    <x v="37"/>
    <s v="TOILETTES ECOSAN"/>
    <x v="37"/>
    <n v="615000"/>
    <n v="-9146"/>
    <x v="2"/>
    <s v="Entretien et réparations"/>
    <x v="1"/>
    <n v="61"/>
    <s v="Services extérieurs"/>
  </r>
  <r>
    <x v="2"/>
    <s v="BQ"/>
    <m/>
    <d v="2022-12-31T00:00:00"/>
    <s v="Frais de communication"/>
    <m/>
    <m/>
    <n v="2000"/>
    <n v="-18845.990000000005"/>
    <s v="TE"/>
    <x v="15"/>
    <s v="TOILETTES ECOSAN"/>
    <x v="15"/>
    <n v="623000"/>
    <n v="-2000"/>
    <x v="2"/>
    <s v="Publicité, publications, Création de site web"/>
    <x v="1"/>
    <n v="62"/>
    <s v="Autres services extérieurs"/>
  </r>
  <r>
    <x v="2"/>
    <s v="BQ"/>
    <m/>
    <d v="2022-12-31T00:00:00"/>
    <s v="Construction de 6 blocs"/>
    <m/>
    <m/>
    <n v="45555"/>
    <n v="-64400.990000000005"/>
    <s v="TE"/>
    <x v="18"/>
    <s v="TOILETTES ECOSAN"/>
    <x v="18"/>
    <n v="611000"/>
    <n v="-45555"/>
    <x v="2"/>
    <s v="Sous-traitance générale "/>
    <x v="1"/>
    <n v="61"/>
    <s v="Services extérieurs"/>
  </r>
  <r>
    <x v="2"/>
    <s v="BQ"/>
    <m/>
    <d v="2022-12-31T00:00:00"/>
    <s v="20 dispositifs de lavage de main "/>
    <m/>
    <m/>
    <n v="3500"/>
    <n v="-67900.990000000005"/>
    <s v="TE"/>
    <x v="18"/>
    <s v="TOILETTES ECOSAN"/>
    <x v="18"/>
    <n v="611000"/>
    <n v="-3500"/>
    <x v="2"/>
    <s v="Sous-traitance générale "/>
    <x v="1"/>
    <n v="61"/>
    <s v="Services extérieurs"/>
  </r>
  <r>
    <x v="2"/>
    <s v="BQ"/>
    <m/>
    <d v="2022-12-31T00:00:00"/>
    <s v="Frais de transports"/>
    <m/>
    <m/>
    <n v="5797"/>
    <n v="-73697.990000000005"/>
    <s v="TE"/>
    <x v="26"/>
    <s v="TOILETTES ECOSAN"/>
    <x v="26"/>
    <n v="624000"/>
    <n v="-5797"/>
    <x v="2"/>
    <s v="Transports"/>
    <x v="1"/>
    <n v="62"/>
    <s v="Charges de personnel"/>
  </r>
  <r>
    <x v="2"/>
    <s v="BQ"/>
    <m/>
    <d v="2022-12-31T00:00:00"/>
    <s v="Adminitratif"/>
    <m/>
    <m/>
    <n v="3000"/>
    <n v="-76697.990000000005"/>
    <s v="TE"/>
    <x v="2"/>
    <s v="TOILETTES ECOSAN"/>
    <x v="2"/>
    <n v="626100"/>
    <n v="-3000"/>
    <x v="2"/>
    <s v="Frais postaux"/>
    <x v="1"/>
    <n v="62"/>
    <s v="Autres services extérieurs"/>
  </r>
  <r>
    <x v="2"/>
    <s v="BQ"/>
    <m/>
    <d v="2022-12-31T00:00:00"/>
    <s v="personnel"/>
    <m/>
    <m/>
    <n v="13144"/>
    <n v="-89841.99"/>
    <s v="TE"/>
    <x v="38"/>
    <s v="TOILETTES ECOSAN"/>
    <x v="38"/>
    <n v="641000"/>
    <n v="-13144"/>
    <x v="2"/>
    <s v="Rémunérations du personnel (salaire brut)"/>
    <x v="1"/>
    <n v="64"/>
    <s v="Charges de personnel"/>
  </r>
  <r>
    <x v="2"/>
    <s v="BQ"/>
    <m/>
    <d v="2022-12-31T00:00:00"/>
    <s v="emploi de Volontaires (Prise en charge VSI)"/>
    <m/>
    <m/>
    <n v="2500"/>
    <n v="-92341.99"/>
    <s v="TE"/>
    <x v="39"/>
    <s v="TOILETTES ECOSAN"/>
    <x v="39"/>
    <n v="648000"/>
    <n v="-2500"/>
    <x v="2"/>
    <s v="Autres charges de personnel"/>
    <x v="1"/>
    <n v="64"/>
    <s v="Charges de personnel"/>
  </r>
  <r>
    <x v="2"/>
    <s v="BQ"/>
    <m/>
    <d v="2022-12-31T00:00:00"/>
    <s v="bénévolat "/>
    <m/>
    <m/>
    <n v="10000"/>
    <n v="-102341.99"/>
    <s v="TE"/>
    <x v="11"/>
    <s v="TOILETTES ECOSAN"/>
    <x v="11"/>
    <n v="862000"/>
    <n v="-10000"/>
    <x v="2"/>
    <s v="Prestations"/>
    <x v="1"/>
    <n v="86"/>
    <s v="Emplois des contributions volontaires"/>
  </r>
  <r>
    <x v="2"/>
    <s v="BQ"/>
    <m/>
    <d v="2022-12-31T00:00:00"/>
    <s v="Autofinancement du porteur de projet"/>
    <m/>
    <n v="5500"/>
    <m/>
    <n v="-96841.99"/>
    <s v="TE"/>
    <x v="4"/>
    <s v="TOILETTES ECOSAN"/>
    <x v="4"/>
    <n v="777100"/>
    <n v="5500"/>
    <x v="2"/>
    <s v="Dons et autres mises à dispositions gratuites"/>
    <x v="2"/>
    <n v="77"/>
    <s v="Produits exceptionnels"/>
  </r>
  <r>
    <x v="2"/>
    <s v="BQ"/>
    <m/>
    <d v="2022-12-31T00:00:00"/>
    <s v="REGION NOUVELLE-AQUITAINE"/>
    <m/>
    <n v="30000"/>
    <m/>
    <n v="-66841.990000000005"/>
    <s v="TE"/>
    <x v="24"/>
    <s v="TOILETTES ECOSAN"/>
    <x v="24"/>
    <n v="741000"/>
    <n v="30000"/>
    <x v="2"/>
    <s v="Région Nouvelle-Aquitaine"/>
    <x v="2"/>
    <n v="74"/>
    <s v="Subventions d'exploitation"/>
  </r>
  <r>
    <x v="2"/>
    <s v="BQ"/>
    <m/>
    <d v="2022-12-31T00:00:00"/>
    <s v="Adour Eau de Garonne"/>
    <m/>
    <n v="54497"/>
    <m/>
    <n v="-12344.990000000005"/>
    <s v="TE"/>
    <x v="40"/>
    <s v="TOILETTES ECOSAN"/>
    <x v="40"/>
    <n v="743000"/>
    <n v="54497"/>
    <x v="2"/>
    <s v="subvention Agence Adour Garonne"/>
    <x v="2"/>
    <n v="74"/>
    <s v="Subventions d'exploitation"/>
  </r>
  <r>
    <x v="2"/>
    <s v="BQ"/>
    <m/>
    <d v="2022-12-31T00:00:00"/>
    <s v="Agence de Micro Projets "/>
    <m/>
    <n v="10000"/>
    <m/>
    <n v="-2344.9900000000052"/>
    <s v="TE"/>
    <x v="23"/>
    <s v="TOILETTES ECOSAN"/>
    <x v="23"/>
    <n v="742000"/>
    <n v="10000"/>
    <x v="2"/>
    <s v="AMP-GRATITUDE"/>
    <x v="2"/>
    <n v="74"/>
    <s v="Subventions d'exploitation"/>
  </r>
  <r>
    <x v="2"/>
    <s v="BQ"/>
    <m/>
    <d v="2022-12-31T00:00:00"/>
    <s v="Contributions valorisées (identiques aux dépenses)"/>
    <m/>
    <n v="10000"/>
    <m/>
    <n v="7655.0099999999948"/>
    <s v="TE"/>
    <x v="9"/>
    <s v="TOILETTES ECOSAN"/>
    <x v="9"/>
    <n v="870000"/>
    <n v="10000"/>
    <x v="2"/>
    <s v="Bénévolat"/>
    <x v="2"/>
    <n v="87"/>
    <s v="Contributions volontaires"/>
  </r>
  <r>
    <x v="0"/>
    <s v="BQ"/>
    <n v="74"/>
    <d v="2022-10-04T00:00:00"/>
    <s v="VI EMIS A L'ETRANGER    _x000a_E2202016402 ASSOCIATION IDAAFE "/>
    <s v="ICTDP"/>
    <m/>
    <n v="6600"/>
    <n v="1055.0099999999948"/>
    <s v="GHM"/>
    <x v="18"/>
    <s v="HYGIENE MENSTRUELLE"/>
    <x v="18"/>
    <n v="611000"/>
    <n v="-6600"/>
    <x v="2"/>
    <s v="Sous-traitance générale "/>
    <x v="1"/>
    <n v="61"/>
    <s v="Services extérieurs"/>
  </r>
  <r>
    <x v="0"/>
    <s v="BQ"/>
    <n v="75"/>
    <d v="2022-10-04T00:00:00"/>
    <s v="PRELEVEMENT             _x000a_COM DE TRANSFERT E2202016402 "/>
    <m/>
    <m/>
    <n v="18.399999999999999"/>
    <n v="1036.6099999999947"/>
    <s v="GHM"/>
    <x v="25"/>
    <s v="HYGIENE MENSTRUELLE"/>
    <x v="25"/>
    <n v="627000"/>
    <n v="-18.399999999999999"/>
    <x v="2"/>
    <s v="Frais bancaires"/>
    <x v="1"/>
    <n v="62"/>
    <s v="Autres services extérieurs"/>
  </r>
  <r>
    <x v="0"/>
    <s v="BQ"/>
    <n v="82"/>
    <d v="2022-09-28T00:00:00"/>
    <s v="Régularisation compte"/>
    <s v="2A2D"/>
    <n v="23.2"/>
    <m/>
    <n v="1059.8099999999947"/>
    <s v="ADM"/>
    <x v="4"/>
    <s v="ADMINIST ET FONCT"/>
    <x v="4"/>
    <n v="777100"/>
    <n v="23.2"/>
    <x v="2"/>
    <s v="Dons et autres mises à dispositions gratuites"/>
    <x v="2"/>
    <n v="77"/>
    <s v="Produits exceptionnels"/>
  </r>
  <r>
    <x v="0"/>
    <s v="BQ"/>
    <n v="82"/>
    <d v="2022-09-28T00:00:00"/>
    <s v="Régularisation compte"/>
    <s v="2A2D"/>
    <n v="64"/>
    <m/>
    <n v="1100.6099999999947"/>
    <s v="ADM"/>
    <x v="36"/>
    <s v="ADMINIST ET FONCT"/>
    <x v="36"/>
    <n v="450000"/>
    <n v="64"/>
    <x v="2"/>
    <s v="Compte courant"/>
    <x v="0"/>
    <n v="45"/>
    <s v="Compte courant"/>
  </r>
  <r>
    <x v="0"/>
    <s v="BQ"/>
    <n v="82"/>
    <d v="2022-09-28T00:00:00"/>
    <s v="Régularisation compte"/>
    <s v="2A2D"/>
    <m/>
    <n v="100"/>
    <n v="959.80999999999472"/>
    <s v="ADM"/>
    <x v="36"/>
    <s v="ADMINIST ET FONCT"/>
    <x v="36"/>
    <n v="450000"/>
    <n v="-100"/>
    <x v="2"/>
    <s v="Compte courant"/>
    <x v="0"/>
    <n v="45"/>
    <s v="Compte courant"/>
  </r>
  <r>
    <x v="0"/>
    <s v="BQ"/>
    <n v="91"/>
    <d v="2022-11-04T00:00:00"/>
    <s v="Don Monique Maillebiau.chèq 55088556"/>
    <s v="2A2D"/>
    <n v="50"/>
    <m/>
    <n v="1009.8099999999947"/>
    <s v="ADM"/>
    <x v="4"/>
    <s v="ADMINIST ET FONCT"/>
    <x v="4"/>
    <n v="777100"/>
    <n v="50"/>
    <x v="2"/>
    <s v="Dons et autres mises à dispositions gratuites"/>
    <x v="2"/>
    <n v="77"/>
    <s v="Produits exceptionnels"/>
  </r>
  <r>
    <x v="0"/>
    <s v="BQ"/>
    <n v="93"/>
    <d v="2022-11-17T00:00:00"/>
    <s v="Adhésion Isabelle Mesplé chèq 2117655020"/>
    <s v="2A2D"/>
    <n v="50"/>
    <m/>
    <n v="1059.8099999999947"/>
    <s v="ADM"/>
    <x v="7"/>
    <s v="ADMINIST ET FONCT"/>
    <x v="7"/>
    <n v="758100"/>
    <n v="50"/>
    <x v="2"/>
    <s v="Cotisations individuelles et associatives"/>
    <x v="2"/>
    <n v="75"/>
    <s v="Autres produits de gestion courante"/>
  </r>
  <r>
    <x v="0"/>
    <s v="BQ"/>
    <n v="94"/>
    <d v="2022-12-05T00:00:00"/>
    <s v="Don Monique Maillebiau.chèq 2251417"/>
    <s v="2A2D"/>
    <n v="50"/>
    <m/>
    <n v="1109.8099999999947"/>
    <s v="ADM"/>
    <x v="4"/>
    <s v="ADMINIST ET FONCT"/>
    <x v="4"/>
    <n v="777100"/>
    <n v="50"/>
    <x v="2"/>
    <s v="Dons et autres mises à dispositions gratuites"/>
    <x v="2"/>
    <n v="77"/>
    <s v="Produits exceptionnels"/>
  </r>
  <r>
    <x v="0"/>
    <s v="BQ"/>
    <n v="95"/>
    <d v="2022-12-02T00:00:00"/>
    <s v="14.11.22NOUVELLE-AQUITAINE"/>
    <s v="2A2D"/>
    <n v="15000"/>
    <m/>
    <n v="16109.809999999994"/>
    <s v="TE"/>
    <x v="24"/>
    <s v="TOILETTES ECOSAN"/>
    <x v="24"/>
    <n v="741000"/>
    <n v="15000"/>
    <x v="2"/>
    <s v="Région Nouvelle-Aquitaine"/>
    <x v="2"/>
    <n v="74"/>
    <s v="Subventions d'exploitation"/>
  </r>
  <r>
    <x v="0"/>
    <s v="BQ"/>
    <n v="95"/>
    <d v="2022-11-17T00:00:00"/>
    <s v="REMISE DE CHEQUE        _x000a_1409027 "/>
    <m/>
    <n v="50"/>
    <m/>
    <n v="16159.809999999994"/>
    <s v="ADM"/>
    <x v="7"/>
    <s v="ADMINIST ET FONCT"/>
    <x v="7"/>
    <n v="758100"/>
    <n v="50"/>
    <x v="2"/>
    <s v="Cotisations individuelles et associatives"/>
    <x v="2"/>
    <n v="75"/>
    <s v="Autres produits de gestion courante"/>
  </r>
  <r>
    <x v="0"/>
    <s v="BQ"/>
    <n v="95"/>
    <d v="2022-11-15T00:00:00"/>
    <s v="VIREMENT EN VOTRE FAVEUR_x000a_LEMONWAY SAS 632797 HELLOASSO-"/>
    <m/>
    <n v="320"/>
    <m/>
    <n v="16429.809999999994"/>
    <s v="ADM"/>
    <x v="7"/>
    <s v="ADMINIST ET FONCT"/>
    <x v="7"/>
    <n v="758100"/>
    <n v="320"/>
    <x v="2"/>
    <s v="Cotisations individuelles et associatives"/>
    <x v="2"/>
    <n v="75"/>
    <s v="Autres produits de gestion courante"/>
  </r>
  <r>
    <x v="0"/>
    <s v="BQ"/>
    <n v="95"/>
    <d v="2022-12-20T00:00:00"/>
    <s v="REMISE DE CHEQUE        _x000a_3625675 "/>
    <m/>
    <n v="30"/>
    <m/>
    <n v="16189.809999999994"/>
    <s v="ADM"/>
    <x v="7"/>
    <s v="ADMINIST ET FONCT"/>
    <x v="7"/>
    <n v="758100"/>
    <n v="30"/>
    <x v="2"/>
    <s v="Cotisations individuelles et associatives"/>
    <x v="2"/>
    <n v="75"/>
    <s v="Autres produits de gestion courante"/>
  </r>
  <r>
    <x v="0"/>
    <s v="BQ"/>
    <m/>
    <d v="2022-12-31T00:00:00"/>
    <s v="bénévolat gHM ICTDP"/>
    <m/>
    <n v="1800"/>
    <m/>
    <n v="17989.809999999994"/>
    <s v="GHM"/>
    <x v="9"/>
    <s v="HYGIENE MENSTRUELLE"/>
    <x v="9"/>
    <n v="870000"/>
    <n v="1800"/>
    <x v="2"/>
    <s v="Bénévolat"/>
    <x v="2"/>
    <n v="87"/>
    <s v="Contributions volontaires"/>
  </r>
  <r>
    <x v="0"/>
    <s v="BQ"/>
    <m/>
    <d v="2022-12-31T00:00:00"/>
    <s v="bénévolat GHM ICTDP"/>
    <m/>
    <m/>
    <n v="1800"/>
    <n v="16189.809999999994"/>
    <s v="GHM"/>
    <x v="12"/>
    <s v="HYGIENE MENSTRUELLE"/>
    <x v="12"/>
    <n v="864000"/>
    <n v="-1800"/>
    <x v="2"/>
    <s v="Personnels bénévoles"/>
    <x v="1"/>
    <n v="86"/>
    <s v="Contributions volontaires"/>
  </r>
  <r>
    <x v="0"/>
    <s v="BQ"/>
    <m/>
    <d v="2022-12-31T00:00:00"/>
    <s v="solde GHM"/>
    <m/>
    <n v="192.94000000000125"/>
    <m/>
    <n v="16382.749999999995"/>
    <s v="ADM"/>
    <x v="41"/>
    <s v="ADMINIST ET FONCT"/>
    <x v="41"/>
    <n v="777000"/>
    <n v="192.94000000000125"/>
    <x v="2"/>
    <s v="Produits exceptionnels"/>
    <x v="2"/>
    <n v="77"/>
    <s v="Produits exceptionnels"/>
  </r>
  <r>
    <x v="0"/>
    <s v="BQ"/>
    <m/>
    <d v="2022-12-31T00:00:00"/>
    <s v="solde GHM"/>
    <m/>
    <m/>
    <n v="192.94000000000125"/>
    <n v="16189.809999999994"/>
    <s v="GHM"/>
    <x v="31"/>
    <s v="HYGIENE MENSTRUELLE"/>
    <x v="31"/>
    <n v="628000"/>
    <n v="-192.94000000000125"/>
    <x v="2"/>
    <s v="Divers"/>
    <x v="1"/>
    <n v="62"/>
    <s v="Autres services extérieurs"/>
  </r>
  <r>
    <x v="0"/>
    <s v="BQ"/>
    <n v="2"/>
    <d v="2021-01-07T00:00:00"/>
    <s v="Chèque assurance RC"/>
    <s v="MAIF"/>
    <m/>
    <n v="124.55"/>
    <n v="1755.0500000000029"/>
    <s v="ADM"/>
    <x v="30"/>
    <s v="ADMINIST ET FONCT"/>
    <x v="30"/>
    <n v="486000"/>
    <n v="-124.55"/>
    <x v="1"/>
    <s v="Charges constatées d'avance"/>
    <x v="0"/>
    <n v="48"/>
    <s v="CCA"/>
  </r>
  <r>
    <x v="3"/>
    <s v="BQ"/>
    <m/>
    <d v="2023-01-01T00:00:00"/>
    <s v="solde ouverture"/>
    <m/>
    <n v="2154.0700000000002"/>
    <m/>
    <n v="2154.0700000000002"/>
    <s v="ADM"/>
    <x v="0"/>
    <s v="ADMINIST ET FONCT"/>
    <x v="0"/>
    <n v="512000"/>
    <n v="2154.0700000000002"/>
    <x v="3"/>
    <s v="Banque"/>
    <x v="0"/>
    <n v="50"/>
    <s v="Trésorerie"/>
  </r>
  <r>
    <x v="3"/>
    <s v="BQ"/>
    <m/>
    <d v="2023-01-01T00:00:00"/>
    <s v="solde ouverture"/>
    <m/>
    <n v="14960"/>
    <m/>
    <n v="17114.07"/>
    <s v="TE"/>
    <x v="0"/>
    <s v="TOILETTES ECOSAN"/>
    <x v="0"/>
    <n v="512000"/>
    <n v="14960"/>
    <x v="3"/>
    <s v="Banque"/>
    <x v="0"/>
    <n v="50"/>
    <s v="Trésorerie"/>
  </r>
  <r>
    <x v="3"/>
    <s v="BQ"/>
    <n v="6"/>
    <d v="2023-01-07T00:00:00"/>
    <s v="solse ouv  PARTS SOCIALES 2022      _x000a_"/>
    <m/>
    <n v="15"/>
    <m/>
    <n v="17129.07"/>
    <s v="ADM"/>
    <x v="33"/>
    <s v="ADMINIST ET FONCT"/>
    <x v="0"/>
    <n v="513000"/>
    <n v="15"/>
    <x v="3"/>
    <s v="Banque"/>
    <x v="0"/>
    <n v="50"/>
    <s v="Trésorerie"/>
  </r>
  <r>
    <x v="3"/>
    <s v="BQ"/>
    <n v="8"/>
    <d v="2023-01-07T00:00:00"/>
    <s v="ADHESIONS"/>
    <s v="2A2D"/>
    <n v="1000"/>
    <m/>
    <n v="18129.07"/>
    <s v="ADM"/>
    <x v="7"/>
    <s v="ADMINIST ET FONCT"/>
    <x v="7"/>
    <n v="758100"/>
    <n v="1000"/>
    <x v="3"/>
    <s v="Cotisations individuelles et associatives"/>
    <x v="2"/>
    <n v="75"/>
    <s v="Autres produits de gestion courante"/>
  </r>
  <r>
    <x v="3"/>
    <s v="BQ"/>
    <n v="13"/>
    <d v="2023-02-22T00:00:00"/>
    <s v="adhésion Hellasso+ autres"/>
    <s v="socop"/>
    <m/>
    <n v="60"/>
    <n v="18069.07"/>
    <s v="ADM"/>
    <x v="1"/>
    <s v="ADMINIST ET FONCT"/>
    <x v="1"/>
    <n v="628100"/>
    <n v="-60"/>
    <x v="3"/>
    <s v="adhesion Hellasso"/>
    <x v="1"/>
    <n v="62"/>
    <s v="Autres services extérieurs"/>
  </r>
  <r>
    <x v="3"/>
    <s v="BQ"/>
    <n v="25"/>
    <d v="2023-03-18T00:00:00"/>
    <s v="communication"/>
    <s v="2A2D"/>
    <m/>
    <n v="50"/>
    <n v="18019.07"/>
    <s v="ADM"/>
    <x v="15"/>
    <s v="ADMINIST ET FONCT"/>
    <x v="15"/>
    <n v="623000"/>
    <n v="-50"/>
    <x v="3"/>
    <s v="Publicité, publications, Création de site web"/>
    <x v="1"/>
    <n v="62"/>
    <s v="Autres services extérieurs"/>
  </r>
  <r>
    <x v="3"/>
    <s v="BQ"/>
    <m/>
    <d v="2023-12-31T00:00:00"/>
    <s v="Frais de Formation des enseignants"/>
    <m/>
    <m/>
    <n v="1800"/>
    <n v="16219.07"/>
    <s v="TE"/>
    <x v="32"/>
    <s v="TOILETTES ECOSAN"/>
    <x v="32"/>
    <n v="622800"/>
    <n v="-1800"/>
    <x v="3"/>
    <s v="Frais de formation"/>
    <x v="1"/>
    <n v="62"/>
    <s v="Autres services extérieurs"/>
  </r>
  <r>
    <x v="3"/>
    <s v="BQ"/>
    <m/>
    <d v="2023-12-31T00:00:00"/>
    <s v="Frais de Sensibilisation parents d'élèves"/>
    <m/>
    <m/>
    <n v="450"/>
    <n v="15769.07"/>
    <s v="TE"/>
    <x v="32"/>
    <s v="TOILETTES ECOSAN"/>
    <x v="32"/>
    <n v="622800"/>
    <n v="-450"/>
    <x v="3"/>
    <s v="Frais de formation"/>
    <x v="1"/>
    <n v="62"/>
    <s v="Autres services extérieurs"/>
  </r>
  <r>
    <x v="3"/>
    <s v="BQ"/>
    <m/>
    <d v="2023-12-31T00:00:00"/>
    <s v="Frais de Formations CSC"/>
    <m/>
    <m/>
    <n v="3500"/>
    <n v="12269.07"/>
    <s v="TE"/>
    <x v="32"/>
    <s v="TOILETTES ECOSAN"/>
    <x v="32"/>
    <n v="622800"/>
    <n v="-3500"/>
    <x v="3"/>
    <s v="Frais de formation"/>
    <x v="1"/>
    <n v="62"/>
    <s v="Autres services extérieurs"/>
  </r>
  <r>
    <x v="3"/>
    <s v="BQ"/>
    <m/>
    <d v="2023-12-31T00:00:00"/>
    <s v="Organisation théâtre forum"/>
    <m/>
    <m/>
    <n v="3200"/>
    <n v="9069.07"/>
    <s v="TE"/>
    <x v="18"/>
    <s v="TOILETTES ECOSAN"/>
    <x v="18"/>
    <n v="611000"/>
    <n v="-3200"/>
    <x v="3"/>
    <s v="Sous-traitance générale "/>
    <x v="1"/>
    <n v="61"/>
    <s v="Services extérieurs"/>
  </r>
  <r>
    <x v="3"/>
    <s v="BQ"/>
    <m/>
    <d v="2023-12-31T00:00:00"/>
    <s v="ateliers pédagogiquespar un Graff "/>
    <m/>
    <m/>
    <n v="1600"/>
    <n v="7469.07"/>
    <s v="TE"/>
    <x v="18"/>
    <s v="TOILETTES ECOSAN"/>
    <x v="18"/>
    <n v="611000"/>
    <n v="-1600"/>
    <x v="3"/>
    <s v="Sous-traitance générale "/>
    <x v="1"/>
    <n v="61"/>
    <s v="Services extérieurs"/>
  </r>
  <r>
    <x v="3"/>
    <s v="BQ"/>
    <m/>
    <d v="2023-12-31T00:00:00"/>
    <s v="ancement des travaux en présence des autorités locales "/>
    <m/>
    <m/>
    <n v="310"/>
    <n v="7159.07"/>
    <s v="TE"/>
    <x v="32"/>
    <s v="TOILETTES ECOSAN"/>
    <x v="32"/>
    <n v="622800"/>
    <n v="-310"/>
    <x v="3"/>
    <s v="Frais de formation"/>
    <x v="1"/>
    <n v="62"/>
    <s v="Autres services extérieurs"/>
  </r>
  <r>
    <x v="3"/>
    <s v="BQ"/>
    <m/>
    <d v="2023-12-31T00:00:00"/>
    <s v="Nétoyage de 2 sanitaires existants pour la rénovation "/>
    <m/>
    <m/>
    <n v="4495"/>
    <n v="2664.0699999999997"/>
    <s v="TE"/>
    <x v="37"/>
    <s v="TOILETTES ECOSAN"/>
    <x v="37"/>
    <n v="615000"/>
    <n v="-4495"/>
    <x v="3"/>
    <s v="Entretien et réparations"/>
    <x v="1"/>
    <n v="61"/>
    <s v="Services extérieurs"/>
  </r>
  <r>
    <x v="3"/>
    <s v="BQ"/>
    <m/>
    <d v="2023-12-31T00:00:00"/>
    <s v="Rénovation de 2 sanitaires "/>
    <m/>
    <m/>
    <n v="9146"/>
    <n v="-6481.93"/>
    <s v="TE"/>
    <x v="37"/>
    <s v="TOILETTES ECOSAN"/>
    <x v="37"/>
    <n v="615000"/>
    <n v="-9146"/>
    <x v="3"/>
    <s v="Entretien et réparations"/>
    <x v="1"/>
    <n v="61"/>
    <s v="Services extérieurs"/>
  </r>
  <r>
    <x v="3"/>
    <s v="BQ"/>
    <m/>
    <d v="2023-12-31T00:00:00"/>
    <s v="Frais de communication"/>
    <m/>
    <m/>
    <n v="2000"/>
    <n v="-8481.93"/>
    <s v="TE"/>
    <x v="15"/>
    <s v="TOILETTES ECOSAN"/>
    <x v="15"/>
    <n v="623000"/>
    <n v="-2000"/>
    <x v="3"/>
    <s v="Publicité, publications, Création de site web"/>
    <x v="1"/>
    <n v="62"/>
    <s v="Autres services extérieurs"/>
  </r>
  <r>
    <x v="3"/>
    <s v="BQ"/>
    <m/>
    <d v="2023-12-31T00:00:00"/>
    <s v="Construction de 6 blocs"/>
    <m/>
    <m/>
    <n v="45555"/>
    <n v="-54036.93"/>
    <s v="TE"/>
    <x v="18"/>
    <s v="TOILETTES ECOSAN"/>
    <x v="18"/>
    <n v="611000"/>
    <n v="-45555"/>
    <x v="3"/>
    <s v="Sous-traitance générale "/>
    <x v="1"/>
    <n v="61"/>
    <s v="Services extérieurs"/>
  </r>
  <r>
    <x v="3"/>
    <s v="BQ"/>
    <m/>
    <d v="2023-12-31T00:00:00"/>
    <s v="20 dispositifs de lavage de main "/>
    <m/>
    <m/>
    <n v="3500"/>
    <n v="-57536.93"/>
    <s v="TE"/>
    <x v="18"/>
    <s v="TOILETTES ECOSAN"/>
    <x v="18"/>
    <n v="611000"/>
    <n v="-3500"/>
    <x v="3"/>
    <s v="Sous-traitance générale "/>
    <x v="1"/>
    <n v="61"/>
    <s v="Services extérieurs"/>
  </r>
  <r>
    <x v="3"/>
    <s v="BQ"/>
    <m/>
    <d v="2023-12-31T00:00:00"/>
    <s v="Frais de transports"/>
    <m/>
    <m/>
    <n v="5797"/>
    <n v="-63333.93"/>
    <s v="TE"/>
    <x v="16"/>
    <s v="TOILETTES ECOSAN"/>
    <x v="16"/>
    <n v="625000"/>
    <n v="-5797"/>
    <x v="3"/>
    <s v="Déplacements, missions et réceptions"/>
    <x v="1"/>
    <n v="62"/>
    <s v="Autres services extérieurs"/>
  </r>
  <r>
    <x v="3"/>
    <s v="BQ"/>
    <m/>
    <d v="2023-12-31T00:00:00"/>
    <s v="Adminitratif"/>
    <m/>
    <m/>
    <n v="960"/>
    <n v="-64293.93"/>
    <s v="TE"/>
    <x v="31"/>
    <s v="TOILETTES ECOSAN"/>
    <x v="31"/>
    <n v="628000"/>
    <n v="-960"/>
    <x v="3"/>
    <s v="Divers"/>
    <x v="1"/>
    <n v="62"/>
    <s v="Autres services extérieurs"/>
  </r>
  <r>
    <x v="3"/>
    <s v="BQ"/>
    <m/>
    <d v="2023-12-31T00:00:00"/>
    <s v="Adminitratif"/>
    <m/>
    <m/>
    <n v="1000"/>
    <n v="-65293.93"/>
    <s v="TE"/>
    <x v="17"/>
    <s v="TOILETTES ECOSAN"/>
    <x v="17"/>
    <n v="626200"/>
    <n v="-1000"/>
    <x v="3"/>
    <s v="Frais de téléphone, fax et portables"/>
    <x v="1"/>
    <n v="62"/>
    <s v="Autres services extérieurs"/>
  </r>
  <r>
    <x v="3"/>
    <s v="BQ"/>
    <m/>
    <d v="2023-12-31T00:00:00"/>
    <s v="Adminitratif"/>
    <m/>
    <m/>
    <n v="1000"/>
    <n v="-66293.929999999993"/>
    <s v="TE"/>
    <x v="2"/>
    <s v="TOILETTES ECOSAN"/>
    <x v="2"/>
    <n v="626100"/>
    <n v="-1000"/>
    <x v="3"/>
    <s v="Frais postaux"/>
    <x v="1"/>
    <n v="62"/>
    <s v="Autres services extérieurs"/>
  </r>
  <r>
    <x v="3"/>
    <s v="BQ"/>
    <m/>
    <d v="2023-12-31T00:00:00"/>
    <s v="personnel"/>
    <m/>
    <m/>
    <n v="13144"/>
    <n v="-79437.929999999993"/>
    <s v="TE"/>
    <x v="38"/>
    <s v="TOILETTES ECOSAN"/>
    <x v="38"/>
    <n v="641000"/>
    <n v="-13144"/>
    <x v="3"/>
    <s v="Rémunérations du personnel (salaire brut)"/>
    <x v="1"/>
    <n v="64"/>
    <s v="Charges de personnel"/>
  </r>
  <r>
    <x v="3"/>
    <s v="BQ"/>
    <m/>
    <d v="2023-12-31T00:00:00"/>
    <s v="emploi de Volontaires (Prise en charge VSI)"/>
    <m/>
    <m/>
    <n v="2500"/>
    <n v="-81937.929999999993"/>
    <s v="TE"/>
    <x v="39"/>
    <s v="TOILETTES ECOSAN"/>
    <x v="39"/>
    <n v="648000"/>
    <n v="-2500"/>
    <x v="3"/>
    <s v="Autres charges de personnel"/>
    <x v="1"/>
    <n v="64"/>
    <s v="Charges de personnel"/>
  </r>
  <r>
    <x v="3"/>
    <s v="BQ"/>
    <m/>
    <d v="2023-12-31T00:00:00"/>
    <s v="bénévolat "/>
    <m/>
    <m/>
    <n v="10000"/>
    <n v="-91937.93"/>
    <s v="TE"/>
    <x v="11"/>
    <s v="TOILETTES ECOSAN"/>
    <x v="11"/>
    <n v="862000"/>
    <n v="-10000"/>
    <x v="3"/>
    <s v="Prestations"/>
    <x v="1"/>
    <n v="86"/>
    <s v="Emplois des contributions volontaires"/>
  </r>
  <r>
    <x v="3"/>
    <s v="BQ"/>
    <m/>
    <d v="2023-12-31T00:00:00"/>
    <s v="Autofinancement du porteur de projet"/>
    <m/>
    <n v="5500"/>
    <m/>
    <n v="-86437.93"/>
    <s v="TE"/>
    <x v="4"/>
    <s v="TOILETTES ECOSAN"/>
    <x v="4"/>
    <n v="777100"/>
    <n v="5500"/>
    <x v="3"/>
    <s v="Dons et autres mises à dispositions gratuites"/>
    <x v="2"/>
    <n v="77"/>
    <s v="Produits exceptionnels"/>
  </r>
  <r>
    <x v="3"/>
    <s v="BQ"/>
    <m/>
    <d v="2023-12-31T00:00:00"/>
    <s v="REGION NOUVELLE-AQUITAINE"/>
    <m/>
    <n v="15000"/>
    <m/>
    <n v="-71437.929999999993"/>
    <s v="TE"/>
    <x v="24"/>
    <s v="TOILETTES ECOSAN"/>
    <x v="24"/>
    <n v="741000"/>
    <n v="15000"/>
    <x v="3"/>
    <s v="Région Nouvelle-Aquitaine"/>
    <x v="2"/>
    <n v="74"/>
    <s v="Subventions d'exploitation"/>
  </r>
  <r>
    <x v="3"/>
    <s v="BQ"/>
    <m/>
    <d v="2023-12-31T00:00:00"/>
    <s v="Adour Eau de Garonne"/>
    <m/>
    <n v="54497"/>
    <m/>
    <n v="-16940.929999999993"/>
    <s v="TE"/>
    <x v="40"/>
    <s v="TOILETTES ECOSAN"/>
    <x v="40"/>
    <n v="743000"/>
    <n v="54497"/>
    <x v="3"/>
    <s v="subvention Agence Adour Garonne"/>
    <x v="2"/>
    <n v="74"/>
    <s v="Subventions d'exploitation"/>
  </r>
  <r>
    <x v="3"/>
    <s v="BQ"/>
    <m/>
    <d v="2023-12-31T00:00:00"/>
    <s v="Agence de Micro Projets "/>
    <m/>
    <n v="10000"/>
    <m/>
    <n v="-6940.929999999993"/>
    <s v="TE"/>
    <x v="23"/>
    <s v="TOILETTES ECOSAN"/>
    <x v="23"/>
    <n v="742000"/>
    <n v="10000"/>
    <x v="3"/>
    <s v="AMP-GRATITUDE"/>
    <x v="2"/>
    <n v="74"/>
    <s v="Subventions d'exploitation"/>
  </r>
  <r>
    <x v="3"/>
    <s v="BQ"/>
    <m/>
    <d v="2023-12-31T00:00:00"/>
    <s v="Contributions valorisées (identiques aux dépenses)"/>
    <m/>
    <n v="10000"/>
    <m/>
    <n v="3059.070000000007"/>
    <s v="TE"/>
    <x v="9"/>
    <s v="TOILETTES ECOSAN"/>
    <x v="9"/>
    <n v="870000"/>
    <n v="10000"/>
    <x v="3"/>
    <s v="Bénévolat"/>
    <x v="2"/>
    <n v="87"/>
    <s v="Contributions volontaires"/>
  </r>
  <r>
    <x v="3"/>
    <s v="BQ"/>
    <m/>
    <d v="2023-06-30T00:00:00"/>
    <s v="Frais de fonctionnement et fourniture"/>
    <m/>
    <m/>
    <n v="100"/>
    <n v="2959.070000000007"/>
    <s v="ADM"/>
    <x v="6"/>
    <s v="ADMINIST ET FONCT"/>
    <x v="6"/>
    <n v="606400"/>
    <n v="-100"/>
    <x v="3"/>
    <s v="Fournitures administratives"/>
    <x v="1"/>
    <n v="60"/>
    <s v="Achat"/>
  </r>
  <r>
    <x v="3"/>
    <s v="BQ"/>
    <n v="1"/>
    <d v="2023-01-01T00:00:00"/>
    <s v="Primes d'assurance"/>
    <s v="MAIF"/>
    <m/>
    <n v="140"/>
    <n v="2819.070000000007"/>
    <s v="ADM"/>
    <x v="5"/>
    <s v="ADMINIST ET FONCT"/>
    <x v="5"/>
    <n v="616000"/>
    <n v="-140"/>
    <x v="3"/>
    <s v="Primes d'assurance"/>
    <x v="1"/>
    <n v="61"/>
    <s v="Services extérieurs"/>
  </r>
  <r>
    <x v="0"/>
    <s v="BQ"/>
    <m/>
    <d v="2023-01-01T00:00:00"/>
    <s v="solde ouverture"/>
    <m/>
    <n v="15"/>
    <m/>
    <n v="15"/>
    <s v="ADM"/>
    <x v="0"/>
    <s v="ADMINIST ET FONCT"/>
    <x v="0"/>
    <n v="512000"/>
    <n v="15"/>
    <x v="3"/>
    <s v="Banque"/>
    <x v="0"/>
    <n v="50"/>
    <s v="Trésorerie"/>
  </r>
  <r>
    <x v="0"/>
    <s v="BQ"/>
    <m/>
    <d v="2023-01-01T00:00:00"/>
    <s v="solde ouverture"/>
    <m/>
    <n v="2154.0700000000002"/>
    <m/>
    <n v="2169.0700000000002"/>
    <s v="ADM"/>
    <x v="0"/>
    <s v="ADMINIST ET FONCT"/>
    <x v="0"/>
    <n v="512000"/>
    <n v="2154.0700000000002"/>
    <x v="3"/>
    <s v="Banque"/>
    <x v="0"/>
    <n v="50"/>
    <s v="Trésorerie"/>
  </r>
  <r>
    <x v="0"/>
    <s v="BQ"/>
    <m/>
    <d v="2023-01-01T00:00:00"/>
    <s v="solde ouverture"/>
    <m/>
    <n v="14960"/>
    <m/>
    <n v="17129.07"/>
    <s v="TE"/>
    <x v="0"/>
    <s v="TOILETTES ECOSAN"/>
    <x v="0"/>
    <n v="512000"/>
    <n v="14960"/>
    <x v="3"/>
    <s v="Banque"/>
    <x v="0"/>
    <n v="50"/>
    <s v="Trésorerie"/>
  </r>
  <r>
    <x v="0"/>
    <s v="BQ"/>
    <m/>
    <d v="2023-12-31T00:00:00"/>
    <s v="bénévolat "/>
    <m/>
    <m/>
    <n v="10000"/>
    <n v="7129.07"/>
    <s v="TE"/>
    <x v="12"/>
    <s v="TOILETTES ECOSAN"/>
    <x v="12"/>
    <n v="864000"/>
    <n v="-10000"/>
    <x v="3"/>
    <s v="Personnels bénévoles"/>
    <x v="1"/>
    <n v="86"/>
    <s v="Contributions volontaires"/>
  </r>
  <r>
    <x v="0"/>
    <s v="BQ"/>
    <m/>
    <d v="2023-12-31T00:00:00"/>
    <s v="Contributions valorisées (identiques aux dépenses)"/>
    <m/>
    <n v="10000"/>
    <m/>
    <n v="17129.07"/>
    <s v="TE"/>
    <x v="9"/>
    <s v="TOILETTES ECOSAN"/>
    <x v="9"/>
    <n v="870000"/>
    <n v="10000"/>
    <x v="3"/>
    <s v="Bénévolat"/>
    <x v="2"/>
    <n v="87"/>
    <s v="Contributions volontaires"/>
  </r>
  <r>
    <x v="0"/>
    <s v="BQ"/>
    <n v="3327424"/>
    <d v="2023-01-05T00:00:00"/>
    <s v="CHEQUE EMIS MAIF"/>
    <m/>
    <m/>
    <n v="116.1"/>
    <n v="17012.97"/>
    <s v="ADM"/>
    <x v="5"/>
    <s v="ADMINIST ET FONCT"/>
    <x v="5"/>
    <n v="616000"/>
    <n v="-116.1"/>
    <x v="3"/>
    <s v="Primes d'assurance"/>
    <x v="1"/>
    <n v="61"/>
    <s v="Services extérieurs"/>
  </r>
  <r>
    <x v="0"/>
    <s v="BQ"/>
    <n v="3625676"/>
    <d v="2023-02-09T00:00:00"/>
    <s v="REMISE DE CHEQUE  maillebiau"/>
    <m/>
    <n v="45"/>
    <m/>
    <n v="17057.97"/>
    <s v="ADM"/>
    <x v="4"/>
    <s v="ADMINIST ET FONCT"/>
    <x v="4"/>
    <n v="777100"/>
    <n v="45"/>
    <x v="3"/>
    <s v="Dons et autres mises à dispositions gratuites"/>
    <x v="2"/>
    <n v="77"/>
    <s v="Produits exceptionnels"/>
  </r>
  <r>
    <x v="0"/>
    <s v="BQ"/>
    <n v="3327425"/>
    <d v="2023-02-22T00:00:00"/>
    <s v="CHEQUE EMIS DISQUE DUR    "/>
    <m/>
    <m/>
    <n v="59.99"/>
    <n v="16997.98"/>
    <s v="TE"/>
    <x v="15"/>
    <s v="TOILETTES ECOSAN"/>
    <x v="15"/>
    <n v="623000"/>
    <n v="-59.99"/>
    <x v="3"/>
    <s v="Publicité, publications, Création de site web"/>
    <x v="1"/>
    <n v="62"/>
    <s v="Autres services extérieurs"/>
  </r>
  <r>
    <x v="0"/>
    <s v="BQ"/>
    <s v="1D0310000 -AEAG-BQ23004050-1       "/>
    <d v="2023-03-07T00:00:00"/>
    <s v="VIR DRFIP OCCITANIE ET HTE GARONNE toilettes "/>
    <m/>
    <n v="38152.800000000003"/>
    <m/>
    <n v="55150.78"/>
    <s v="TE"/>
    <x v="40"/>
    <s v="TOILETTES ECOSAN"/>
    <x v="40"/>
    <n v="743000"/>
    <n v="38152.800000000003"/>
    <x v="3"/>
    <s v="subvention Agence Adour Garonne"/>
    <x v="2"/>
    <n v="74"/>
    <s v="Subventions d'exploitation"/>
  </r>
  <r>
    <x v="0"/>
    <s v="BQ"/>
    <s v="VH306838SD1TGN01        "/>
    <d v="2023-03-20T00:00:00"/>
    <s v="VIR GUILDE EUROPEENNE DU RAID VH3068 DEB 2/3 PROJET 2022 04 0018 "/>
    <m/>
    <n v="6667"/>
    <m/>
    <n v="61817.78"/>
    <s v="TE"/>
    <x v="23"/>
    <s v="TOILETTES ECOSAN"/>
    <x v="23"/>
    <n v="742000"/>
    <n v="6667"/>
    <x v="3"/>
    <s v="AMP-GRATITUDE"/>
    <x v="2"/>
    <n v="74"/>
    <s v="Subventions d'exploitation"/>
  </r>
  <r>
    <x v="0"/>
    <s v="BQ"/>
    <s v="G2302006842"/>
    <d v="2023-03-22T00:00:00"/>
    <s v="VI EMIS ICTDP 1ERE TRANCHE"/>
    <m/>
    <m/>
    <n v="58000"/>
    <n v="3817.7799999999988"/>
    <s v="TE"/>
    <x v="18"/>
    <s v="TOILETTES ECOSAN"/>
    <x v="18"/>
    <n v="611000"/>
    <n v="-58000"/>
    <x v="3"/>
    <s v="Sous-traitance générale "/>
    <x v="1"/>
    <n v="61"/>
    <s v="Services extérieurs"/>
  </r>
  <r>
    <x v="0"/>
    <s v="BQ"/>
    <s v="G2302006842 "/>
    <d v="2023-03-22T00:00:00"/>
    <s v="PRELEVEMENT COM DE TRANSFERT "/>
    <m/>
    <m/>
    <n v="58"/>
    <n v="3759.7799999999988"/>
    <s v="TE"/>
    <x v="2"/>
    <s v="TOILETTES ECOSAN"/>
    <x v="2"/>
    <n v="626100"/>
    <n v="-58"/>
    <x v="3"/>
    <s v="Frais postaux"/>
    <x v="1"/>
    <n v="62"/>
    <s v="Autres services extérieurs"/>
  </r>
  <r>
    <x v="0"/>
    <s v="BQ"/>
    <n v="3327427"/>
    <d v="2023-03-23T00:00:00"/>
    <s v="CHEQUE EMIS  Com-Inter  déc-mars         "/>
    <m/>
    <m/>
    <n v="255.96"/>
    <n v="3503.8199999999988"/>
    <s v="TE"/>
    <x v="15"/>
    <s v="TOILETTES ECOSAN"/>
    <x v="15"/>
    <n v="623000"/>
    <n v="-255.96"/>
    <x v="3"/>
    <s v="Publicité, publications, Création de site web"/>
    <x v="1"/>
    <n v="62"/>
    <s v="Autres services extérieurs"/>
  </r>
  <r>
    <x v="0"/>
    <s v="BQ"/>
    <n v="1108767"/>
    <d v="2023-04-03T00:00:00"/>
    <s v="Cotisation béatrice FRINGUET yapla"/>
    <m/>
    <n v="150"/>
    <m/>
    <n v="3653.8199999999988"/>
    <s v="ADM"/>
    <x v="7"/>
    <s v="ADMINIST ET FONCT"/>
    <x v="7"/>
    <n v="758100"/>
    <n v="150"/>
    <x v="3"/>
    <s v="Cotisations individuelles et associatives"/>
    <x v="2"/>
    <n v="75"/>
    <s v="Autres produits de gestion courante"/>
  </r>
  <r>
    <x v="0"/>
    <s v="BQ"/>
    <n v="1108767"/>
    <d v="2023-04-03T00:00:00"/>
    <s v="Cotisation PONS yapla"/>
    <m/>
    <n v="50"/>
    <m/>
    <n v="3703.8199999999988"/>
    <s v="ADM"/>
    <x v="7"/>
    <s v="ADMINIST ET FONCT"/>
    <x v="7"/>
    <n v="758100"/>
    <n v="50"/>
    <x v="3"/>
    <s v="Cotisations individuelles et associatives"/>
    <x v="2"/>
    <n v="75"/>
    <s v="Autres produits de gestion courante"/>
  </r>
  <r>
    <x v="0"/>
    <s v="BQ"/>
    <n v="3625680"/>
    <d v="2023-04-13T00:00:00"/>
    <s v="REMISE DE CHEQUE Don MAILLEBIAU Monique     "/>
    <m/>
    <n v="50"/>
    <m/>
    <n v="3753.8199999999988"/>
    <s v="ADM"/>
    <x v="4"/>
    <s v="ADMINIST ET FONCT"/>
    <x v="4"/>
    <n v="777100"/>
    <n v="50"/>
    <x v="3"/>
    <s v="Dons et autres mises à dispositions gratuites"/>
    <x v="2"/>
    <n v="77"/>
    <s v="Produits exceptionnels"/>
  </r>
  <r>
    <x v="0"/>
    <s v="BQ"/>
    <n v="1181622"/>
    <d v="2023-04-19T00:00:00"/>
    <s v="VIR JPLAFON YAPLA "/>
    <m/>
    <n v="300"/>
    <m/>
    <n v="4053.8199999999988"/>
    <s v="ADM"/>
    <x v="7"/>
    <s v="ADMINIST ET FONCT"/>
    <x v="7"/>
    <n v="758100"/>
    <n v="300"/>
    <x v="3"/>
    <s v="Cotisations individuelles et associatives"/>
    <x v="2"/>
    <n v="75"/>
    <s v="Autres produits de gestion courante"/>
  </r>
  <r>
    <x v="0"/>
    <s v="BQ"/>
    <n v="3327428"/>
    <d v="2023-05-09T00:00:00"/>
    <s v="CHEQUE EMIS  com avril   "/>
    <m/>
    <m/>
    <n v="63.99"/>
    <n v="3989.829999999999"/>
    <s v="TE"/>
    <x v="15"/>
    <s v="TOILETTES ECOSAN"/>
    <x v="15"/>
    <n v="623000"/>
    <n v="-63.99"/>
    <x v="3"/>
    <s v="Publicité, publications, Création de site web"/>
    <x v="1"/>
    <n v="62"/>
    <s v="Autres services extérieurs"/>
  </r>
  <r>
    <x v="0"/>
    <s v="BQ"/>
    <n v="3327426"/>
    <d v="2023-05-16T00:00:00"/>
    <s v="CHEQUE EMIS    Adhésion SOCOOP 2023       "/>
    <m/>
    <m/>
    <n v="50"/>
    <n v="3939.829999999999"/>
    <s v="ADM"/>
    <x v="1"/>
    <s v="ADMINIST ET FONCT"/>
    <x v="1"/>
    <n v="628100"/>
    <n v="-50"/>
    <x v="3"/>
    <s v="adhesion Hellasso"/>
    <x v="1"/>
    <n v="62"/>
    <s v="Autres services extérieurs"/>
  </r>
  <r>
    <x v="0"/>
    <s v="BQ"/>
    <m/>
    <d v="2023-05-16T00:00:00"/>
    <s v="INTERETS CREDITEURS     _x000a_PARTS SOC"/>
    <m/>
    <n v="0.34"/>
    <m/>
    <n v="3940.1699999999992"/>
    <s v="ADM"/>
    <x v="42"/>
    <s v="ADMINIST ET FONCT"/>
    <x v="42"/>
    <n v="766000"/>
    <n v="0.34"/>
    <x v="3"/>
    <s v="Produits financiers"/>
    <x v="2"/>
    <n v="76"/>
    <s v="Produits exceptionnels"/>
  </r>
  <r>
    <x v="0"/>
    <s v="BQ"/>
    <n v="3327430"/>
    <d v="2023-05-31T00:00:00"/>
    <s v="CHEQUE EMIS Com Mai     "/>
    <m/>
    <m/>
    <n v="65.989999999999995"/>
    <n v="3874.1799999999994"/>
    <s v="TE"/>
    <x v="15"/>
    <s v="TOILETTES ECOSAN"/>
    <x v="15"/>
    <n v="623000"/>
    <n v="-65.989999999999995"/>
    <x v="3"/>
    <s v="Publicité, publications, Création de site web"/>
    <x v="1"/>
    <n v="62"/>
    <s v="Autres services extérieurs"/>
  </r>
  <r>
    <x v="0"/>
    <s v="BQ"/>
    <n v="3327429"/>
    <d v="2023-06-05T00:00:00"/>
    <s v="CHEQUE EMIS Achat Encre et rame"/>
    <m/>
    <m/>
    <n v="73.09"/>
    <n v="3801.0899999999992"/>
    <s v="ADM"/>
    <x v="6"/>
    <s v="ADMINIST ET FONCT"/>
    <x v="6"/>
    <n v="606400"/>
    <n v="-73.09"/>
    <x v="3"/>
    <s v="Fournitures administratives"/>
    <x v="1"/>
    <n v="60"/>
    <s v="Achat"/>
  </r>
  <r>
    <x v="0"/>
    <s v="BQ"/>
    <n v="2867712"/>
    <d v="2023-06-13T00:00:00"/>
    <s v="Adhésion BOUYER"/>
    <m/>
    <n v="100"/>
    <m/>
    <n v="3901.0899999999992"/>
    <s v="ADM"/>
    <x v="7"/>
    <s v="ADMINIST ET FONCT"/>
    <x v="7"/>
    <n v="758100"/>
    <n v="100"/>
    <x v="3"/>
    <s v="Cotisations individuelles et associatives"/>
    <x v="2"/>
    <n v="75"/>
    <s v="Autres produits de gestion courante"/>
  </r>
  <r>
    <x v="0"/>
    <s v="BQ"/>
    <n v="1386565"/>
    <d v="2023-06-16T00:00:00"/>
    <s v="Adhésion Evelyne LAFON/ Yapla"/>
    <m/>
    <n v="30"/>
    <m/>
    <n v="3931.0899999999992"/>
    <s v="ADM"/>
    <x v="7"/>
    <s v="ADMINIST ET FONCT"/>
    <x v="7"/>
    <n v="758100"/>
    <n v="30"/>
    <x v="3"/>
    <s v="Cotisations individuelles et associatives"/>
    <x v="2"/>
    <n v="75"/>
    <s v="Autres produits de gestion courante"/>
  </r>
  <r>
    <x v="0"/>
    <s v="BQ"/>
    <n v="1386565"/>
    <d v="2023-06-16T00:00:00"/>
    <s v="Adhésion brigite BOHUON yapla"/>
    <m/>
    <n v="10"/>
    <m/>
    <n v="3941.0899999999992"/>
    <s v="ADM"/>
    <x v="7"/>
    <s v="ADMINIST ET FONCT"/>
    <x v="7"/>
    <n v="758100"/>
    <n v="10"/>
    <x v="3"/>
    <s v="Cotisations individuelles et associatives"/>
    <x v="2"/>
    <n v="75"/>
    <s v="Autres produits de gestion courante"/>
  </r>
  <r>
    <x v="0"/>
    <s v="BQ"/>
    <n v="1448773"/>
    <d v="2023-07-03T00:00:00"/>
    <s v="Jean Jacques COMBAREL"/>
    <m/>
    <n v="20"/>
    <m/>
    <n v="3961.0899999999992"/>
    <s v="ADM"/>
    <x v="7"/>
    <s v="ADMINIST ET FONCT"/>
    <x v="7"/>
    <n v="758100"/>
    <n v="20"/>
    <x v="3"/>
    <s v="Cotisations individuelles et associatives"/>
    <x v="2"/>
    <n v="75"/>
    <s v="Autres produits de gestion courante"/>
  </r>
  <r>
    <x v="0"/>
    <s v="BQ"/>
    <n v="3327432"/>
    <d v="2023-07-07T00:00:00"/>
    <s v="CHEQUE EMIS  Timbre chèq   "/>
    <m/>
    <m/>
    <n v="13.92"/>
    <n v="3947.1699999999992"/>
    <s v="TE"/>
    <x v="2"/>
    <s v="TOILETTES ECOSAN"/>
    <x v="2"/>
    <n v="626100"/>
    <n v="-13.92"/>
    <x v="3"/>
    <s v="Frais postaux"/>
    <x v="1"/>
    <n v="62"/>
    <s v="Autres services extérieurs"/>
  </r>
  <r>
    <x v="0"/>
    <s v="BQ"/>
    <n v="3327433"/>
    <d v="2023-07-07T00:00:00"/>
    <s v="CHEQUE EMIS  Com juin "/>
    <m/>
    <m/>
    <n v="70.41"/>
    <n v="3876.7599999999993"/>
    <s v="TE"/>
    <x v="15"/>
    <s v="TOILETTES ECOSAN"/>
    <x v="15"/>
    <n v="623000"/>
    <n v="-70.41"/>
    <x v="3"/>
    <s v="Publicité, publications, Création de site web"/>
    <x v="1"/>
    <n v="62"/>
    <s v="Autres services extérieurs"/>
  </r>
  <r>
    <x v="0"/>
    <s v="BQ"/>
    <n v="3786220"/>
    <d v="2023-07-07T00:00:00"/>
    <s v="Adhésion SAVIGNOL"/>
    <m/>
    <n v="100"/>
    <m/>
    <n v="3976.7599999999993"/>
    <s v="ADM"/>
    <x v="7"/>
    <s v="ADMINIST ET FONCT"/>
    <x v="7"/>
    <n v="758100"/>
    <n v="100"/>
    <x v="3"/>
    <s v="Cotisations individuelles et associatives"/>
    <x v="2"/>
    <n v="75"/>
    <s v="Autres produits de gestion courante"/>
  </r>
  <r>
    <x v="0"/>
    <s v="BQ"/>
    <n v="3786220"/>
    <d v="2023-07-07T00:00:00"/>
    <s v="DON CYGNE DE VIE, 37866220"/>
    <m/>
    <n v="1200"/>
    <m/>
    <n v="5176.7599999999993"/>
    <s v="ADM"/>
    <x v="4"/>
    <s v="ADMINIST ET FONCT"/>
    <x v="4"/>
    <n v="777100"/>
    <n v="1200"/>
    <x v="3"/>
    <s v="Dons et autres mises à dispositions gratuites"/>
    <x v="2"/>
    <n v="77"/>
    <s v="Produits exceptionnels"/>
  </r>
  <r>
    <x v="0"/>
    <s v="BQ"/>
    <n v="1506102"/>
    <d v="2023-07-17T00:00:00"/>
    <s v="VIR LEMONWAY MEMBOGO-507792 YAPLA "/>
    <m/>
    <n v="50"/>
    <m/>
    <n v="5226.7599999999993"/>
    <s v="ADM"/>
    <x v="7"/>
    <s v="ADMINIST ET FONCT"/>
    <x v="7"/>
    <n v="758100"/>
    <n v="50"/>
    <x v="3"/>
    <s v="Cotisations individuelles et associatives"/>
    <x v="2"/>
    <n v="75"/>
    <s v="Autres produits de gestion courante"/>
  </r>
  <r>
    <x v="0"/>
    <s v="BQ"/>
    <n v="1575371"/>
    <d v="2023-08-01T00:00:00"/>
    <s v="VIR LEMONWAY MEMBOGO-534776 YAPLA "/>
    <m/>
    <n v="30"/>
    <m/>
    <n v="5256.7599999999993"/>
    <s v="ADM"/>
    <x v="7"/>
    <s v="ADMINIST ET FONCT"/>
    <x v="7"/>
    <n v="758100"/>
    <n v="30"/>
    <x v="3"/>
    <s v="Cotisations individuelles et associatives"/>
    <x v="2"/>
    <n v="75"/>
    <s v="Autres produits de gestion courante"/>
  </r>
  <r>
    <x v="0"/>
    <s v="BQ"/>
    <n v="5950016"/>
    <d v="2023-08-30T00:00:00"/>
    <s v="MESPLE Isabelle"/>
    <m/>
    <n v="50"/>
    <m/>
    <n v="5306.7599999999993"/>
    <s v="ADM"/>
    <x v="7"/>
    <s v="ADMINIST ET FONCT"/>
    <x v="7"/>
    <n v="758100"/>
    <n v="50"/>
    <x v="3"/>
    <s v="Cotisations individuelles et associatives"/>
    <x v="2"/>
    <n v="75"/>
    <s v="Autres produits de gestion courante"/>
  </r>
  <r>
    <x v="0"/>
    <s v="BQ"/>
    <n v="3786218"/>
    <d v="2023-09-02T00:00:00"/>
    <s v="Adhésion Bodjok Namka et BOUTOU Eloi,"/>
    <m/>
    <n v="60"/>
    <m/>
    <n v="5366.7599999999993"/>
    <s v="ADM"/>
    <x v="7"/>
    <s v="ADMINIST ET FONCT"/>
    <x v="7"/>
    <n v="758100"/>
    <n v="60"/>
    <x v="3"/>
    <s v="Cotisations individuelles et associatives"/>
    <x v="2"/>
    <n v="75"/>
    <s v="Autres produits de gestion courante"/>
  </r>
  <r>
    <x v="0"/>
    <s v="BQ"/>
    <n v="3327434"/>
    <d v="2023-09-07T00:00:00"/>
    <s v="CHEQUE EMIS Com juin juillet-Août             "/>
    <m/>
    <m/>
    <n v="127.71"/>
    <n v="5239.0499999999993"/>
    <s v="TE"/>
    <x v="15"/>
    <s v="TOILETTES ECOSAN"/>
    <x v="15"/>
    <n v="623000"/>
    <n v="-127.71"/>
    <x v="3"/>
    <s v="Publicité, publications, Création de site web"/>
    <x v="1"/>
    <n v="62"/>
    <s v="Autres services extérieurs"/>
  </r>
  <r>
    <x v="0"/>
    <s v="BQ"/>
    <n v="3786218"/>
    <d v="2023-10-02T00:00:00"/>
    <s v="Adhésion "/>
    <m/>
    <n v="10"/>
    <m/>
    <n v="5249.0499999999993"/>
    <s v="ADM"/>
    <x v="7"/>
    <s v="ADMINIST ET FONCT"/>
    <x v="7"/>
    <n v="758100"/>
    <n v="10"/>
    <x v="3"/>
    <s v="Cotisations individuelles et associatives"/>
    <x v="2"/>
    <n v="75"/>
    <s v="Autres produits de gestion courante"/>
  </r>
  <r>
    <x v="0"/>
    <s v="BQ"/>
    <n v="3786218"/>
    <d v="2023-10-02T00:00:00"/>
    <s v="Adhésion FLAFON"/>
    <m/>
    <n v="50"/>
    <m/>
    <n v="5299.0499999999993"/>
    <s v="ADM"/>
    <x v="7"/>
    <s v="ADMINIST ET FONCT"/>
    <x v="7"/>
    <n v="758100"/>
    <n v="50"/>
    <x v="3"/>
    <s v="Cotisations individuelles et associatives"/>
    <x v="2"/>
    <n v="75"/>
    <s v="Autres produits de gestion courante"/>
  </r>
  <r>
    <x v="0"/>
    <s v="BQ"/>
    <m/>
    <d v="2023-12-19T00:00:00"/>
    <s v="CHEQUE EMIS             _x000a_3327438 gardiennage"/>
    <m/>
    <m/>
    <n v="73.260000000000005"/>
    <n v="5225.7899999999991"/>
    <s v="TE"/>
    <x v="16"/>
    <s v="TOILETTES ECOSAN"/>
    <x v="16"/>
    <n v="625000"/>
    <n v="-73.260000000000005"/>
    <x v="3"/>
    <s v="Déplacements, missions et réceptions"/>
    <x v="1"/>
    <n v="62"/>
    <s v="Autres services extérieurs"/>
  </r>
  <r>
    <x v="0"/>
    <s v="BQ"/>
    <m/>
    <d v="2023-12-19T00:00:00"/>
    <s v="CHEQUE EMIS             _x000a_3327436  PIZZA volontaires"/>
    <m/>
    <m/>
    <n v="43.6"/>
    <n v="5182.1899999999987"/>
    <s v="TE"/>
    <x v="16"/>
    <s v="TOILETTES ECOSAN"/>
    <x v="16"/>
    <n v="625000"/>
    <n v="-43.6"/>
    <x v="3"/>
    <s v="Déplacements, missions et réceptions"/>
    <x v="1"/>
    <n v="62"/>
    <s v="Autres services extérieurs"/>
  </r>
  <r>
    <x v="0"/>
    <s v="BQ"/>
    <m/>
    <d v="2023-12-01T00:00:00"/>
    <s v="VIREMENT EN VOTRE FAVEUR_x000a_LEMONWAY 2215048 MEMBOGO-694380 YAPLA AURORE_x000a_2215048                            "/>
    <m/>
    <n v="20"/>
    <m/>
    <n v="5202.1899999999987"/>
    <s v="ADM"/>
    <x v="7"/>
    <s v="ADMINIST ET FONCT"/>
    <x v="7"/>
    <n v="758100"/>
    <n v="20"/>
    <x v="3"/>
    <s v="Cotisations individuelles et associatives"/>
    <x v="2"/>
    <n v="75"/>
    <s v="Autres produits de gestion courante"/>
  </r>
  <r>
    <x v="0"/>
    <s v="BQ"/>
    <m/>
    <d v="2023-11-22T00:00:00"/>
    <s v="PRELEVEMENT             _x000a_Comm de transfert "/>
    <m/>
    <m/>
    <n v="19.399999999999999"/>
    <n v="5182.7899999999991"/>
    <s v="TE"/>
    <x v="2"/>
    <s v="TOILETTES ECOSAN"/>
    <x v="2"/>
    <n v="626100"/>
    <n v="-19.399999999999999"/>
    <x v="3"/>
    <s v="Frais postaux"/>
    <x v="1"/>
    <n v="62"/>
    <s v="Autres services extérieurs"/>
  </r>
  <r>
    <x v="0"/>
    <s v="BQ"/>
    <m/>
    <d v="2023-11-22T00:00:00"/>
    <s v="VI EMIS A L'ETRANGER    rbsé_x000a_G2302026057 INITIATIVE CITOYENNE "/>
    <m/>
    <m/>
    <n v="2751"/>
    <n v="2431.7899999999991"/>
    <s v="TE"/>
    <x v="16"/>
    <s v="TOILETTES ECOSAN"/>
    <x v="16"/>
    <n v="625000"/>
    <n v="-2751"/>
    <x v="3"/>
    <s v="Déplacements, missions et réceptions"/>
    <x v="1"/>
    <n v="62"/>
    <s v="Autres services extérieurs"/>
  </r>
  <r>
    <x v="0"/>
    <s v="BQ"/>
    <m/>
    <d v="2023-11-22T00:00:00"/>
    <s v="VI EMIS A L'ETRANGER    _x000a_G2302026057 INITIATIVE CITOYENNE "/>
    <m/>
    <m/>
    <n v="1221"/>
    <n v="1210.7899999999991"/>
    <s v="TE"/>
    <x v="16"/>
    <s v="TOILETTES ECOSAN"/>
    <x v="16"/>
    <n v="625000"/>
    <n v="-1221"/>
    <x v="3"/>
    <s v="Déplacements, missions et réceptions"/>
    <x v="1"/>
    <n v="62"/>
    <s v="Autres services extérieurs"/>
  </r>
  <r>
    <x v="0"/>
    <s v="BQ"/>
    <m/>
    <d v="2023-11-21T00:00:00"/>
    <s v="Virement de M ERIC SAMITIER "/>
    <m/>
    <n v="917"/>
    <m/>
    <n v="2127.7899999999991"/>
    <s v="TE"/>
    <x v="16"/>
    <s v="TOILETTES ECOSAN"/>
    <x v="16"/>
    <n v="625000"/>
    <n v="917"/>
    <x v="3"/>
    <s v="Déplacements, missions et réceptions"/>
    <x v="1"/>
    <n v="62"/>
    <s v="Autres services extérieurs"/>
  </r>
  <r>
    <x v="0"/>
    <s v="BQ"/>
    <m/>
    <d v="2023-11-17T00:00:00"/>
    <s v="VIREMENT DE ME AUDOIN VERONIQUE "/>
    <m/>
    <n v="917"/>
    <m/>
    <n v="3044.7899999999991"/>
    <s v="TE"/>
    <x v="16"/>
    <s v="TOILETTES ECOSAN"/>
    <x v="16"/>
    <n v="625000"/>
    <n v="917"/>
    <x v="3"/>
    <s v="Déplacements, missions et réceptions"/>
    <x v="1"/>
    <n v="62"/>
    <s v="Autres services extérieurs"/>
  </r>
  <r>
    <x v="0"/>
    <s v="BQ"/>
    <m/>
    <d v="2023-11-16T00:00:00"/>
    <s v="irement de Dominique SOURON - Mission TOGO "/>
    <m/>
    <n v="917"/>
    <m/>
    <n v="3961.7899999999991"/>
    <s v="TE"/>
    <x v="16"/>
    <s v="TOILETTES ECOSAN"/>
    <x v="16"/>
    <n v="625000"/>
    <n v="917"/>
    <x v="3"/>
    <s v="Déplacements, missions et réceptions"/>
    <x v="1"/>
    <n v="62"/>
    <s v="Autres services extérieurs"/>
  </r>
  <r>
    <x v="0"/>
    <s v="BQ"/>
    <m/>
    <d v="2023-11-14T00:00:00"/>
    <s v="CHEQUE EMIS             _x000a_3327435/0000000/000000000 "/>
    <m/>
    <m/>
    <n v="123.98"/>
    <n v="2003.809999999999"/>
    <s v="TE"/>
    <x v="15"/>
    <s v="TOILETTES ECOSAN"/>
    <x v="15"/>
    <n v="623000"/>
    <n v="-123.98"/>
    <x v="3"/>
    <s v="Publicité, publications, Création de site web"/>
    <x v="1"/>
    <n v="62"/>
    <s v="Autres services extérieurs"/>
  </r>
  <r>
    <x v="0"/>
    <s v="BQ"/>
    <m/>
    <d v="2023-11-14T00:00:00"/>
    <s v="REMISE DE CHEQUE        _x000a_3625686 "/>
    <m/>
    <n v="70"/>
    <m/>
    <n v="3114.7899999999991"/>
    <s v="ADM"/>
    <x v="7"/>
    <s v="ADMINIST ET FONCT"/>
    <x v="7"/>
    <n v="758100"/>
    <n v="70"/>
    <x v="3"/>
    <s v="Cotisations individuelles et associatives"/>
    <x v="2"/>
    <n v="75"/>
    <s v="Autres produits de gestion courante"/>
  </r>
  <r>
    <x v="0"/>
    <s v="BQ"/>
    <m/>
    <d v="2023-11-07T00:00:00"/>
    <s v="PRELEVEMENT             _x000a_Frais divers international "/>
    <m/>
    <m/>
    <n v="24"/>
    <n v="3090.7899999999991"/>
    <s v="TE"/>
    <x v="2"/>
    <s v="TOILETTES ECOSAN"/>
    <x v="2"/>
    <n v="626100"/>
    <n v="-24"/>
    <x v="3"/>
    <s v="Frais postaux"/>
    <x v="1"/>
    <n v="62"/>
    <s v="Autres services extérieurs"/>
  </r>
  <r>
    <x v="0"/>
    <s v="BQ"/>
    <m/>
    <d v="2023-11-07T00:00:00"/>
    <s v="VIREMENT EN VOTRE FAVEUR_x000a_Stripe Technology Europe Ltd HelloAsso Q4V0E8 "/>
    <m/>
    <n v="100"/>
    <m/>
    <n v="3190.7899999999991"/>
    <s v="ADM"/>
    <x v="7"/>
    <s v="ADMINIST ET FONCT"/>
    <x v="7"/>
    <n v="758100"/>
    <n v="100"/>
    <x v="3"/>
    <s v="Cotisations individuelles et associatives"/>
    <x v="2"/>
    <n v="75"/>
    <s v="Autres produits de gestion courante"/>
  </r>
  <r>
    <x v="0"/>
    <s v="BQ"/>
    <m/>
    <d v="2023-11-03T00:00:00"/>
    <s v="VIREMENT EN VOTRE FAVEUR_x000a_LEMONWAY 2061233 MEMBOGO-651234 YAPLA  CHRISTELLE_x000a_2061233                            "/>
    <m/>
    <n v="100"/>
    <m/>
    <n v="3290.7899999999991"/>
    <s v="ADM"/>
    <x v="7"/>
    <s v="ADMINIST ET FONCT"/>
    <x v="7"/>
    <n v="758100"/>
    <n v="100"/>
    <x v="3"/>
    <s v="Cotisations individuelles et associatives"/>
    <x v="2"/>
    <n v="75"/>
    <s v="Autres produits de gestion courante"/>
  </r>
  <r>
    <x v="0"/>
    <s v="BQ"/>
    <m/>
    <d v="2023-10-24T00:00:00"/>
    <s v="PRELEVEMENT             _x000a_Comm de transfert "/>
    <m/>
    <m/>
    <n v="19.399999999999999"/>
    <n v="3271.389999999999"/>
    <s v="TE"/>
    <x v="2"/>
    <s v="TOILETTES ECOSAN"/>
    <x v="2"/>
    <n v="626100"/>
    <n v="-19.399999999999999"/>
    <x v="3"/>
    <s v="Frais postaux"/>
    <x v="1"/>
    <n v="62"/>
    <s v="Autres services extérieurs"/>
  </r>
  <r>
    <x v="0"/>
    <s v="BQ"/>
    <m/>
    <d v="2023-10-24T00:00:00"/>
    <s v="VI EMIS A L'ETRANGER    _x000a_G2302023547 INITIATIVE CITOYENNE "/>
    <m/>
    <m/>
    <n v="3000"/>
    <n v="271.38999999999896"/>
    <s v="TE"/>
    <x v="18"/>
    <s v="TOILETTES ECOSAN"/>
    <x v="18"/>
    <n v="611000"/>
    <n v="-3000"/>
    <x v="3"/>
    <s v="Sous-traitance générale "/>
    <x v="1"/>
    <n v="61"/>
    <s v="Services extérieurs"/>
  </r>
  <r>
    <x v="0"/>
    <s v="BQ"/>
    <m/>
    <d v="2023-10-17T00:00:00"/>
    <s v="VIREMENT EN VOTRE FAVEUR_x000a_LEMONWAY 1972249 MEMBOGO-635369 YAPLA _x000a_1972249                            "/>
    <m/>
    <n v="20"/>
    <m/>
    <n v="291.38999999999896"/>
    <s v="ADM"/>
    <x v="7"/>
    <s v="ADMINIST ET FONCT"/>
    <x v="7"/>
    <n v="758100"/>
    <n v="20"/>
    <x v="3"/>
    <s v="Cotisations individuelles et associatives"/>
    <x v="2"/>
    <n v="75"/>
    <s v="Autres produits de gestion courante"/>
  </r>
  <r>
    <x v="4"/>
    <s v="BQ"/>
    <m/>
    <d v="2023-01-01T00:00:00"/>
    <s v="solde ouverture"/>
    <m/>
    <n v="2154.0700000000002"/>
    <m/>
    <n v="2154.0700000000002"/>
    <s v="ADM"/>
    <x v="0"/>
    <s v="ADMINIST ET FONCT"/>
    <x v="0"/>
    <n v="512000"/>
    <n v="2154.0700000000002"/>
    <x v="3"/>
    <s v="Banque"/>
    <x v="0"/>
    <n v="50"/>
    <s v="Trésorerie"/>
  </r>
  <r>
    <x v="4"/>
    <s v="BQ"/>
    <m/>
    <d v="2023-01-01T00:00:00"/>
    <s v="solde ouverture"/>
    <m/>
    <n v="14960"/>
    <m/>
    <n v="17114.07"/>
    <s v="TE"/>
    <x v="0"/>
    <s v="TOILETTES ECOSAN"/>
    <x v="0"/>
    <n v="512000"/>
    <n v="14960"/>
    <x v="3"/>
    <s v="Banque"/>
    <x v="0"/>
    <n v="50"/>
    <s v="Trésorerie"/>
  </r>
  <r>
    <x v="4"/>
    <s v="BQ"/>
    <n v="6"/>
    <d v="2023-01-07T00:00:00"/>
    <s v="solse ouv  PARTS SOCIALES 2022      _x000a_"/>
    <m/>
    <n v="15"/>
    <m/>
    <n v="17129.07"/>
    <s v="ADM"/>
    <x v="33"/>
    <s v="ADMINIST ET FONCT"/>
    <x v="33"/>
    <n v="513000"/>
    <n v="15"/>
    <x v="3"/>
    <s v="Parts sociales"/>
    <x v="0"/>
    <n v="50"/>
    <s v="Trésorerie"/>
  </r>
  <r>
    <x v="4"/>
    <s v="BQ"/>
    <n v="8"/>
    <d v="2023-01-07T00:00:00"/>
    <s v="ADHESIONS"/>
    <s v="2A2D"/>
    <n v="1000"/>
    <m/>
    <n v="18129.07"/>
    <s v="ADM"/>
    <x v="7"/>
    <s v="ADMINIST ET FONCT"/>
    <x v="7"/>
    <n v="758100"/>
    <n v="1000"/>
    <x v="3"/>
    <s v="Cotisations individuelles et associatives"/>
    <x v="2"/>
    <n v="75"/>
    <s v="Autres produits de gestion courante"/>
  </r>
  <r>
    <x v="4"/>
    <s v="BQ"/>
    <n v="13"/>
    <d v="2023-02-22T00:00:00"/>
    <s v="adhésion Hellasso+ autres"/>
    <s v="socop"/>
    <m/>
    <n v="60"/>
    <n v="18069.07"/>
    <s v="ADM"/>
    <x v="1"/>
    <s v="ADMINIST ET FONCT"/>
    <x v="1"/>
    <n v="628100"/>
    <n v="-60"/>
    <x v="3"/>
    <s v="adhesion Hellasso"/>
    <x v="1"/>
    <n v="62"/>
    <s v="Autres services extérieurs"/>
  </r>
  <r>
    <x v="4"/>
    <s v="BQ"/>
    <n v="25"/>
    <d v="2023-03-18T00:00:00"/>
    <s v="communication"/>
    <s v="2A2D"/>
    <m/>
    <n v="50"/>
    <n v="18019.07"/>
    <s v="ADM"/>
    <x v="15"/>
    <s v="ADMINIST ET FONCT"/>
    <x v="15"/>
    <n v="623000"/>
    <n v="-50"/>
    <x v="3"/>
    <s v="Publicité, publications, Création de site web"/>
    <x v="1"/>
    <n v="62"/>
    <s v="Autres services extérieurs"/>
  </r>
  <r>
    <x v="4"/>
    <s v="BQ"/>
    <m/>
    <d v="2023-12-31T00:00:00"/>
    <s v="Frais de formation de 20 enseignants à l'hygiène et assainissement"/>
    <m/>
    <m/>
    <n v="1200"/>
    <n v="16819.07"/>
    <s v="TE"/>
    <x v="18"/>
    <s v="TOILETTES ECOSAN"/>
    <x v="18"/>
    <n v="611000"/>
    <n v="-1200"/>
    <x v="3"/>
    <s v="Sous-traitance générale "/>
    <x v="1"/>
    <n v="61"/>
    <s v="Services extérieurs"/>
  </r>
  <r>
    <x v="4"/>
    <s v="BQ"/>
    <m/>
    <d v="2023-12-31T00:00:00"/>
    <s v="Frais de sensibilisation des parents d'élèves à l'hygiène et assainissement en 2 sessions"/>
    <m/>
    <m/>
    <n v="287"/>
    <n v="16532.07"/>
    <s v="TE"/>
    <x v="18"/>
    <s v="TOILETTES ECOSAN"/>
    <x v="18"/>
    <n v="611000"/>
    <n v="-287"/>
    <x v="3"/>
    <s v="Sous-traitance générale "/>
    <x v="1"/>
    <n v="61"/>
    <s v="Services extérieurs"/>
  </r>
  <r>
    <x v="4"/>
    <s v="BQ"/>
    <m/>
    <d v="2023-12-31T00:00:00"/>
    <s v="Frais de formation de 40 membres des Comités de Santé Scolaires (CSC) en 2 sessions"/>
    <m/>
    <m/>
    <n v="2400"/>
    <n v="14132.07"/>
    <s v="TE"/>
    <x v="18"/>
    <s v="TOILETTES ECOSAN"/>
    <x v="18"/>
    <n v="611000"/>
    <n v="-2400"/>
    <x v="3"/>
    <s v="Sous-traitance générale "/>
    <x v="1"/>
    <n v="61"/>
    <s v="Services extérieurs"/>
  </r>
  <r>
    <x v="4"/>
    <s v="BQ"/>
    <m/>
    <d v="2023-12-31T00:00:00"/>
    <s v="Organisation et mise en place de 4 théatres forum par un intervenant extérieur"/>
    <m/>
    <m/>
    <n v="1800"/>
    <n v="12332.07"/>
    <s v="TE"/>
    <x v="18"/>
    <s v="TOILETTES ECOSAN"/>
    <x v="18"/>
    <n v="611000"/>
    <n v="-1800"/>
    <x v="3"/>
    <s v="Sous-traitance générale "/>
    <x v="1"/>
    <n v="61"/>
    <s v="Services extérieurs"/>
  </r>
  <r>
    <x v="4"/>
    <s v="BQ"/>
    <m/>
    <d v="2023-12-31T00:00:00"/>
    <s v="Mise en place de 6 ateliers pédagogiques dans les établissements par un Graff"/>
    <m/>
    <m/>
    <n v="1200"/>
    <n v="11132.07"/>
    <s v="TE"/>
    <x v="18"/>
    <s v="TOILETTES ECOSAN"/>
    <x v="18"/>
    <n v="611000"/>
    <n v="-1200"/>
    <x v="3"/>
    <s v="Sous-traitance générale "/>
    <x v="1"/>
    <n v="61"/>
    <s v="Services extérieurs"/>
  </r>
  <r>
    <x v="4"/>
    <s v="BQ"/>
    <m/>
    <d v="2023-12-31T00:00:00"/>
    <s v="Travaux de recrutement et de lancement du projet en présence des autorités locales"/>
    <m/>
    <m/>
    <n v="310"/>
    <n v="10822.07"/>
    <s v="TE"/>
    <x v="18"/>
    <s v="TOILETTES ECOSAN"/>
    <x v="18"/>
    <n v="611000"/>
    <n v="-310"/>
    <x v="3"/>
    <s v="Sous-traitance générale "/>
    <x v="1"/>
    <n v="61"/>
    <s v="Services extérieurs"/>
  </r>
  <r>
    <x v="4"/>
    <s v="BQ"/>
    <m/>
    <d v="2023-12-31T00:00:00"/>
    <s v="Frais de communication et / ou frais liés aux actions d'ECSI en Nouvelle Aquitaine (location de salle, convivialité, flyres, impressions de photos)"/>
    <m/>
    <m/>
    <n v="1960"/>
    <n v="8862.07"/>
    <s v="TE"/>
    <x v="15"/>
    <s v="TOILETTES ECOSAN"/>
    <x v="15"/>
    <n v="623000"/>
    <n v="-1960"/>
    <x v="3"/>
    <s v="Publicité, publications, Création de site web"/>
    <x v="1"/>
    <n v="62"/>
    <s v="Autres services extérieurs"/>
  </r>
  <r>
    <x v="4"/>
    <s v="BQ"/>
    <m/>
    <d v="2023-12-31T00:00:00"/>
    <s v="Construction de 54 cabines dans 2 établissements scolaires adaptés aux effectifs + 16 massifs de fleurs de 2m2 pour éviter l'eau de stagnation lors des lavages de mains"/>
    <m/>
    <m/>
    <n v="72000"/>
    <n v="-63137.93"/>
    <s v="TE"/>
    <x v="18"/>
    <s v="TOILETTES ECOSAN"/>
    <x v="18"/>
    <n v="611000"/>
    <n v="-72000"/>
    <x v="3"/>
    <s v="Sous-traitance générale "/>
    <x v="1"/>
    <n v="61"/>
    <s v="Services extérieurs"/>
  </r>
  <r>
    <x v="4"/>
    <s v="BQ"/>
    <m/>
    <d v="2023-12-31T00:00:00"/>
    <s v="Mise en place de 16 dispositifs de lavage de mains"/>
    <m/>
    <m/>
    <n v="2800"/>
    <n v="-65937.929999999993"/>
    <s v="TE"/>
    <x v="18"/>
    <s v="TOILETTES ECOSAN"/>
    <x v="18"/>
    <n v="611000"/>
    <n v="-2800"/>
    <x v="3"/>
    <s v="Sous-traitance générale "/>
    <x v="1"/>
    <n v="61"/>
    <s v="Services extérieurs"/>
  </r>
  <r>
    <x v="4"/>
    <s v="BQ"/>
    <m/>
    <d v="2023-12-31T00:00:00"/>
    <s v="Frais de transport, Evaluation externe, frais liés aux déplacements (billets d'avion, hébergement, restauration, visas …) (320,5+1600+1600)"/>
    <m/>
    <m/>
    <n v="5200"/>
    <n v="-71137.929999999993"/>
    <s v="TE"/>
    <x v="16"/>
    <s v="TOILETTES ECOSAN"/>
    <x v="16"/>
    <n v="625000"/>
    <n v="-5200"/>
    <x v="3"/>
    <s v="Déplacements, missions et réceptions"/>
    <x v="1"/>
    <n v="62"/>
    <s v="Autres services extérieurs"/>
  </r>
  <r>
    <x v="4"/>
    <s v="BQ"/>
    <m/>
    <d v="2023-12-31T00:00:00"/>
    <s v="Frais de fonctionnement (frais postaux, bancaires, assurances, téléphone, internet, matériel de bureautique)"/>
    <m/>
    <m/>
    <n v="500"/>
    <n v="-71637.929999999993"/>
    <s v="TE"/>
    <x v="18"/>
    <s v="TOILETTES ECOSAN"/>
    <x v="18"/>
    <n v="611000"/>
    <n v="-500"/>
    <x v="3"/>
    <s v="Sous-traitance générale "/>
    <x v="1"/>
    <n v="61"/>
    <s v="Services extérieurs"/>
  </r>
  <r>
    <x v="4"/>
    <s v="BQ"/>
    <m/>
    <d v="2023-12-31T00:00:00"/>
    <s v="Frais de fonctionnement (frais postaux, bancaires, assurances, téléphone, internet, matériel de bureautique)"/>
    <m/>
    <m/>
    <n v="1500"/>
    <n v="-73137.929999999993"/>
    <s v="TE"/>
    <x v="2"/>
    <s v="TOILETTES ECOSAN"/>
    <x v="2"/>
    <n v="626100"/>
    <n v="-1500"/>
    <x v="3"/>
    <s v="Frais postaux"/>
    <x v="1"/>
    <n v="62"/>
    <s v="Autres services extérieurs"/>
  </r>
  <r>
    <x v="4"/>
    <s v="BQ"/>
    <m/>
    <d v="2023-12-31T00:00:00"/>
    <s v="Charges du personnel local d'ICTDP (Rénumération et charges)"/>
    <m/>
    <m/>
    <n v="5700"/>
    <n v="-78837.929999999993"/>
    <s v="TE"/>
    <x v="18"/>
    <s v="TOILETTES ECOSAN"/>
    <x v="18"/>
    <n v="611000"/>
    <n v="-5700"/>
    <x v="3"/>
    <s v="Sous-traitance générale "/>
    <x v="1"/>
    <n v="61"/>
    <s v="Services extérieurs"/>
  </r>
  <r>
    <x v="4"/>
    <s v="BQ"/>
    <m/>
    <d v="2023-12-31T00:00:00"/>
    <s v="Frais du contrôleur (Suivi technique, maitrise d'œuvre en appui à ICTDP"/>
    <m/>
    <m/>
    <n v="1600"/>
    <n v="-80437.929999999993"/>
    <s v="TE"/>
    <x v="18"/>
    <s v="TOILETTES ECOSAN"/>
    <x v="18"/>
    <n v="611000"/>
    <n v="-16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1000"/>
    <n v="-81437.929999999993"/>
    <s v="TE"/>
    <x v="18"/>
    <s v="TOILETTES ECOSAN"/>
    <x v="18"/>
    <n v="611000"/>
    <n v="-1000"/>
    <x v="3"/>
    <s v="Sous-traitance générale "/>
    <x v="1"/>
    <n v="61"/>
    <s v="Services extérieurs"/>
  </r>
  <r>
    <x v="4"/>
    <s v="BQ"/>
    <m/>
    <d v="2023-12-31T00:00:00"/>
    <s v="Charges liées àl'emploi de Volontaires (Prise en charge CSI) (961,5+div)"/>
    <m/>
    <m/>
    <n v="500"/>
    <n v="-81937.929999999993"/>
    <s v="TE"/>
    <x v="16"/>
    <s v="TOILETTES ECOSAN"/>
    <x v="16"/>
    <n v="625000"/>
    <n v="-500"/>
    <x v="3"/>
    <s v="Déplacements, missions et réceptions"/>
    <x v="1"/>
    <n v="62"/>
    <s v="Autres services extérieurs"/>
  </r>
  <r>
    <x v="4"/>
    <s v="BQ"/>
    <m/>
    <d v="2023-12-31T00:00:00"/>
    <s v="Apport Partenaire ICTDP"/>
    <m/>
    <m/>
    <n v="3000"/>
    <n v="-84937.93"/>
    <s v="TE"/>
    <x v="12"/>
    <s v="TOILETTES ECOSAN"/>
    <x v="12"/>
    <n v="864000"/>
    <n v="-3000"/>
    <x v="3"/>
    <s v="Personnels bénévoles"/>
    <x v="1"/>
    <n v="86"/>
    <s v="Contributions volontaires"/>
  </r>
  <r>
    <x v="4"/>
    <s v="BQ"/>
    <m/>
    <d v="2023-12-31T00:00:00"/>
    <s v="Apport 2A2D"/>
    <m/>
    <m/>
    <n v="7000"/>
    <n v="-91937.93"/>
    <s v="TE"/>
    <x v="12"/>
    <s v="TOILETTES ECOSAN"/>
    <x v="12"/>
    <n v="864000"/>
    <n v="-7000"/>
    <x v="3"/>
    <s v="Personnels bénévoles"/>
    <x v="1"/>
    <n v="86"/>
    <s v="Contributions volontaires"/>
  </r>
  <r>
    <x v="4"/>
    <s v="BQ"/>
    <m/>
    <d v="2023-12-31T00:00:00"/>
    <s v="Autofinancement du porteur de projet"/>
    <m/>
    <n v="5500"/>
    <m/>
    <n v="-86437.93"/>
    <s v="TE"/>
    <x v="4"/>
    <s v="TOILETTES ECOSAN"/>
    <x v="4"/>
    <n v="777100"/>
    <n v="5500"/>
    <x v="3"/>
    <s v="Dons et autres mises à dispositions gratuites"/>
    <x v="2"/>
    <n v="77"/>
    <s v="Produits exceptionnels"/>
  </r>
  <r>
    <x v="4"/>
    <s v="BQ"/>
    <m/>
    <d v="2023-12-31T00:00:00"/>
    <s v="REGION NOUVELLE-AQUITAINE"/>
    <m/>
    <n v="15000"/>
    <m/>
    <n v="-71437.929999999993"/>
    <s v="TE"/>
    <x v="24"/>
    <s v="TOILETTES ECOSAN"/>
    <x v="24"/>
    <n v="741000"/>
    <n v="15000"/>
    <x v="3"/>
    <s v="Région Nouvelle-Aquitaine"/>
    <x v="2"/>
    <n v="74"/>
    <s v="Subventions d'exploitation"/>
  </r>
  <r>
    <x v="4"/>
    <s v="BQ"/>
    <m/>
    <d v="2023-12-31T00:00:00"/>
    <s v="Adour Eau de Garonne"/>
    <m/>
    <n v="54497"/>
    <m/>
    <n v="-16940.929999999993"/>
    <s v="TE"/>
    <x v="40"/>
    <s v="TOILETTES ECOSAN"/>
    <x v="40"/>
    <n v="743000"/>
    <n v="54497"/>
    <x v="3"/>
    <s v="subvention Agence Adour Garonne"/>
    <x v="2"/>
    <n v="74"/>
    <s v="Subventions d'exploitation"/>
  </r>
  <r>
    <x v="4"/>
    <s v="BQ"/>
    <m/>
    <d v="2023-12-31T00:00:00"/>
    <s v="Agence de Micro Projets "/>
    <m/>
    <n v="10000"/>
    <m/>
    <n v="-6940.929999999993"/>
    <s v="TE"/>
    <x v="23"/>
    <s v="TOILETTES ECOSAN"/>
    <x v="23"/>
    <n v="742000"/>
    <n v="10000"/>
    <x v="3"/>
    <s v="AMP-GRATITUDE"/>
    <x v="2"/>
    <n v="74"/>
    <s v="Subventions d'exploitation"/>
  </r>
  <r>
    <x v="4"/>
    <s v="BQ"/>
    <m/>
    <d v="2023-12-31T00:00:00"/>
    <s v="Contributions valorisées (identiques aux dépenses)"/>
    <m/>
    <n v="10000"/>
    <m/>
    <n v="-6940.929999999993"/>
    <s v="TE"/>
    <x v="9"/>
    <s v="TOILETTES ECOSAN"/>
    <x v="9"/>
    <n v="870000"/>
    <n v="10000"/>
    <x v="3"/>
    <s v="Bénévolat"/>
    <x v="2"/>
    <n v="87"/>
    <s v="Contributions volontaires"/>
  </r>
  <r>
    <x v="4"/>
    <s v="BQ"/>
    <m/>
    <d v="2023-06-30T00:00:00"/>
    <s v="Frais de fonctionnement et fourniture"/>
    <m/>
    <m/>
    <n v="100"/>
    <n v="-7040.929999999993"/>
    <s v="ADM"/>
    <x v="6"/>
    <s v="ADMINIST ET FONCT"/>
    <x v="6"/>
    <n v="606400"/>
    <n v="-100"/>
    <x v="3"/>
    <s v="Fournitures administratives"/>
    <x v="1"/>
    <n v="60"/>
    <s v="Achat"/>
  </r>
  <r>
    <x v="4"/>
    <s v="BQ"/>
    <m/>
    <d v="2023-01-01T00:00:00"/>
    <s v="Primes d'assurance"/>
    <s v="MAIF"/>
    <m/>
    <n v="140"/>
    <n v="-7180.929999999993"/>
    <s v="ADM"/>
    <x v="5"/>
    <s v="ADMINIST ET FONCT"/>
    <x v="5"/>
    <n v="616000"/>
    <n v="-140"/>
    <x v="3"/>
    <s v="Primes d'assurance"/>
    <x v="1"/>
    <n v="61"/>
    <s v="Services extérieurs"/>
  </r>
  <r>
    <x v="5"/>
    <s v="BQ"/>
    <m/>
    <d v="2024-01-01T00:00:00"/>
    <s v="solde ouverture"/>
    <m/>
    <n v="15"/>
    <m/>
    <n v="15"/>
    <s v="ADM"/>
    <x v="0"/>
    <s v="ADMINIST ET FONCT"/>
    <x v="0"/>
    <n v="512000"/>
    <n v="15"/>
    <x v="4"/>
    <s v="Banque"/>
    <x v="0"/>
    <n v="50"/>
    <s v="Trésorerie"/>
  </r>
  <r>
    <x v="5"/>
    <s v="BQ"/>
    <m/>
    <d v="2024-01-01T00:00:00"/>
    <s v="solde ouverture"/>
    <m/>
    <n v="4374.6440000000002"/>
    <m/>
    <n v="4389.6440000000002"/>
    <s v="ADM"/>
    <x v="0"/>
    <s v="ADMINIST ET FONCT"/>
    <x v="0"/>
    <n v="512000"/>
    <n v="4374.6440000000002"/>
    <x v="4"/>
    <s v="Banque"/>
    <x v="0"/>
    <n v="50"/>
    <s v="Trésorerie"/>
  </r>
  <r>
    <x v="5"/>
    <s v="BQ"/>
    <m/>
    <d v="2024-01-01T00:00:00"/>
    <s v="solde ouverture"/>
    <m/>
    <n v="-3305.2339999999967"/>
    <m/>
    <n v="1084.4100000000035"/>
    <s v="TE"/>
    <x v="0"/>
    <s v="TOILETTES ECOSAN"/>
    <x v="0"/>
    <n v="512000"/>
    <n v="-3305.2339999999967"/>
    <x v="4"/>
    <s v="Banque"/>
    <x v="0"/>
    <n v="50"/>
    <s v="Trésorerie"/>
  </r>
  <r>
    <x v="5"/>
    <n v="2024"/>
    <m/>
    <d v="2024-12-31T00:00:00"/>
    <s v="Subventions Région Nouvelle Aquitaine"/>
    <m/>
    <n v="15000"/>
    <m/>
    <n v="16084.410000000003"/>
    <s v="TE"/>
    <x v="24"/>
    <s v="TOILETTES ECOSAN"/>
    <x v="24"/>
    <n v="741000"/>
    <n v="15000"/>
    <x v="4"/>
    <s v="Région Nouvelle-Aquitaine"/>
    <x v="2"/>
    <n v="74"/>
    <s v="Subventions d'exploitation"/>
  </r>
  <r>
    <x v="5"/>
    <s v="BQ"/>
    <m/>
    <d v="2024-12-31T00:00:00"/>
    <s v="Subvention Agence Micro Projet"/>
    <m/>
    <n v="3333"/>
    <m/>
    <n v="19417.410000000003"/>
    <s v="TE"/>
    <x v="23"/>
    <s v="TOILETTES ECOSAN"/>
    <x v="23"/>
    <n v="742000"/>
    <n v="3333"/>
    <x v="4"/>
    <s v="AMP-GRATITUDE"/>
    <x v="2"/>
    <n v="74"/>
    <s v="Subventions d'exploitation"/>
  </r>
  <r>
    <x v="5"/>
    <s v="BQ"/>
    <m/>
    <d v="2024-12-31T00:00:00"/>
    <s v="Subvention Agence Adour Garonne"/>
    <m/>
    <n v="16344.199999999997"/>
    <m/>
    <n v="35761.61"/>
    <s v="TE"/>
    <x v="40"/>
    <s v="TOILETTES ECOSAN"/>
    <x v="40"/>
    <n v="743000"/>
    <n v="16344.199999999997"/>
    <x v="4"/>
    <s v="subvention Agence Adour Garonne"/>
    <x v="2"/>
    <n v="74"/>
    <s v="Subventions d'exploitation"/>
  </r>
  <r>
    <x v="5"/>
    <s v="BQ"/>
    <m/>
    <d v="2024-12-31T00:00:00"/>
    <s v="Fonds propres"/>
    <m/>
    <m/>
    <m/>
    <n v="35761.61"/>
    <s v="TE"/>
    <x v="41"/>
    <s v="TOILETTES ECOSAN"/>
    <x v="41"/>
    <n v="777000"/>
    <n v="0"/>
    <x v="4"/>
    <s v="Produits exceptionnels"/>
    <x v="2"/>
    <n v="77"/>
    <s v="Produits exceptionnels"/>
  </r>
  <r>
    <x v="5"/>
    <s v="BQ"/>
    <m/>
    <d v="2024-12-31T00:00:00"/>
    <s v="Sous traitance projet"/>
    <m/>
    <m/>
    <n v="28576"/>
    <n v="7185.6100000000006"/>
    <s v="TE"/>
    <x v="18"/>
    <s v="TOILETTES ECOSAN"/>
    <x v="18"/>
    <n v="611000"/>
    <n v="-28576"/>
    <x v="4"/>
    <s v="Sous-traitance générale "/>
    <x v="1"/>
    <n v="61"/>
    <s v="Services extérieurs"/>
  </r>
  <r>
    <x v="5"/>
    <s v="BQ"/>
    <m/>
    <d v="2024-12-31T00:00:00"/>
    <s v="communication"/>
    <m/>
    <m/>
    <n v="1333.626"/>
    <n v="5851.9840000000004"/>
    <s v="TE"/>
    <x v="15"/>
    <s v="TOILETTES ECOSAN"/>
    <x v="15"/>
    <n v="623000"/>
    <n v="-1333.626"/>
    <x v="4"/>
    <s v="Publicité, publications, Création de site web"/>
    <x v="1"/>
    <n v="62"/>
    <s v="Autres services extérieurs"/>
  </r>
  <r>
    <x v="5"/>
    <s v="BQ"/>
    <m/>
    <d v="2024-12-31T00:00:00"/>
    <s v="déplacements"/>
    <m/>
    <m/>
    <n v="5583.14"/>
    <n v="268.84400000000005"/>
    <s v="TE"/>
    <x v="16"/>
    <s v="TOILETTES ECOSAN"/>
    <x v="16"/>
    <n v="625000"/>
    <n v="-5583.14"/>
    <x v="4"/>
    <s v="Déplacements, missions et réceptions"/>
    <x v="1"/>
    <n v="62"/>
    <s v="Autres services extérieurs"/>
  </r>
  <r>
    <x v="5"/>
    <s v="BQ"/>
    <m/>
    <d v="2024-12-31T00:00:00"/>
    <s v="Frais d'envoi"/>
    <m/>
    <m/>
    <n v="1379.2"/>
    <n v="-1110.356"/>
    <s v="TE"/>
    <x v="2"/>
    <s v="TOILETTES ECOSAN"/>
    <x v="2"/>
    <n v="626100"/>
    <n v="-1379.2"/>
    <x v="4"/>
    <s v="Frais postaux"/>
    <x v="1"/>
    <n v="62"/>
    <s v="Autres services extérieurs"/>
  </r>
  <r>
    <x v="5"/>
    <s v="BQ"/>
    <m/>
    <d v="2024-01-05T00:00:00"/>
    <s v="CHEQUE EMIS MAIF"/>
    <m/>
    <m/>
    <n v="116.1"/>
    <n v="-1226.4559999999999"/>
    <s v="ADM"/>
    <x v="5"/>
    <s v="ADMINIST ET FONCT"/>
    <x v="5"/>
    <n v="616000"/>
    <n v="-116.1"/>
    <x v="4"/>
    <s v="Primes d'assurance"/>
    <x v="1"/>
    <n v="61"/>
    <s v="Services extérieurs"/>
  </r>
  <r>
    <x v="5"/>
    <s v="BQ"/>
    <m/>
    <d v="2024-02-09T00:00:00"/>
    <s v="REMISE DE CHEQUE  maillebiau"/>
    <m/>
    <n v="2045"/>
    <m/>
    <n v="818.5440000000001"/>
    <s v="ADM"/>
    <x v="4"/>
    <s v="ADMINIST ET FONCT"/>
    <x v="4"/>
    <n v="777100"/>
    <n v="2045"/>
    <x v="4"/>
    <s v="Dons et autres mises à dispositions gratuites"/>
    <x v="2"/>
    <n v="77"/>
    <s v="Produits exceptionnels"/>
  </r>
  <r>
    <x v="5"/>
    <s v="BQ"/>
    <m/>
    <d v="2024-03-23T00:00:00"/>
    <s v="CHEQUE EMIS  Com-Inter  déc-mars         "/>
    <m/>
    <m/>
    <n v="255.96"/>
    <n v="562.58400000000006"/>
    <s v="ADM"/>
    <x v="15"/>
    <s v="ADMINIST ET FONCT"/>
    <x v="15"/>
    <n v="623000"/>
    <n v="-255.96"/>
    <x v="4"/>
    <s v="Publicité, publications, Création de site web"/>
    <x v="1"/>
    <n v="62"/>
    <s v="Autres services extérieurs"/>
  </r>
  <r>
    <x v="5"/>
    <s v="BQ"/>
    <m/>
    <d v="2024-04-03T00:00:00"/>
    <s v="Cotisation béatrice FRINGUET yapla"/>
    <m/>
    <n v="350"/>
    <m/>
    <n v="912.58400000000006"/>
    <s v="ADM"/>
    <x v="7"/>
    <s v="ADMINIST ET FONCT"/>
    <x v="7"/>
    <n v="758100"/>
    <n v="350"/>
    <x v="4"/>
    <s v="Cotisations individuelles et associatives"/>
    <x v="2"/>
    <n v="75"/>
    <s v="Autres produits de gestion courante"/>
  </r>
  <r>
    <x v="5"/>
    <s v="BQ"/>
    <m/>
    <d v="2024-04-03T00:00:00"/>
    <s v="Cotisation PONS yapla"/>
    <m/>
    <n v="50"/>
    <m/>
    <n v="962.58400000000006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5"/>
    <s v="BQ"/>
    <m/>
    <d v="2024-04-13T00:00:00"/>
    <s v="REMISE DE CHEQUE Don MAILLEBIAU Monique     "/>
    <m/>
    <n v="50"/>
    <m/>
    <n v="1012.5840000000001"/>
    <s v="ADM"/>
    <x v="4"/>
    <s v="ADMINIST ET FONCT"/>
    <x v="4"/>
    <n v="777100"/>
    <n v="50"/>
    <x v="4"/>
    <s v="Dons et autres mises à dispositions gratuites"/>
    <x v="2"/>
    <n v="77"/>
    <s v="Produits exceptionnels"/>
  </r>
  <r>
    <x v="4"/>
    <s v="BQ"/>
    <m/>
    <d v="2023-12-31T00:00:00"/>
    <s v="FRAS BANQUE"/>
    <m/>
    <m/>
    <m/>
    <n v="1012.5840000000001"/>
    <s v="TE"/>
    <x v="2"/>
    <s v="TOILETTES ECOSAN"/>
    <x v="2"/>
    <n v="626100"/>
    <n v="0"/>
    <x v="3"/>
    <s v="Frais postaux"/>
    <x v="1"/>
    <n v="62"/>
    <s v="Autres services extérieurs"/>
  </r>
  <r>
    <x v="5"/>
    <s v="BQ"/>
    <m/>
    <d v="2024-04-19T00:00:00"/>
    <s v="VIR JPLAFON YAPLA "/>
    <m/>
    <n v="300"/>
    <m/>
    <n v="1312.5840000000001"/>
    <s v="ADM"/>
    <x v="7"/>
    <s v="ADMINIST ET FONCT"/>
    <x v="7"/>
    <n v="758100"/>
    <n v="300"/>
    <x v="4"/>
    <s v="Cotisations individuelles et associatives"/>
    <x v="2"/>
    <n v="75"/>
    <s v="Autres produits de gestion courante"/>
  </r>
  <r>
    <x v="5"/>
    <s v="BQ"/>
    <m/>
    <d v="2024-05-09T00:00:00"/>
    <s v="CHEQUE EMIS  com avril   "/>
    <m/>
    <m/>
    <n v="63.99"/>
    <n v="1248.5940000000001"/>
    <s v="ADM"/>
    <x v="15"/>
    <s v="ADMINIST ET FONCT"/>
    <x v="15"/>
    <n v="623000"/>
    <n v="-63.99"/>
    <x v="4"/>
    <s v="Publicité, publications, Création de site web"/>
    <x v="1"/>
    <n v="62"/>
    <s v="Autres services extérieurs"/>
  </r>
  <r>
    <x v="5"/>
    <s v="BQ"/>
    <m/>
    <d v="2024-05-16T00:00:00"/>
    <s v="CHEQUE EMIS    Adhésion SOCOOP 2023       "/>
    <m/>
    <m/>
    <n v="50"/>
    <n v="1198.5940000000001"/>
    <s v="ADM"/>
    <x v="1"/>
    <s v="ADMINIST ET FONCT"/>
    <x v="1"/>
    <n v="628100"/>
    <n v="-50"/>
    <x v="4"/>
    <s v="adhesion Hellasso"/>
    <x v="1"/>
    <n v="62"/>
    <s v="Autres services extérieurs"/>
  </r>
  <r>
    <x v="5"/>
    <s v="BQ"/>
    <m/>
    <d v="2024-05-16T00:00:00"/>
    <s v="INTERETS CREDITEURS "/>
    <m/>
    <n v="0.34"/>
    <m/>
    <n v="1198.934"/>
    <s v="ADM"/>
    <x v="42"/>
    <s v="ADMINIST ET FONCT"/>
    <x v="42"/>
    <n v="766000"/>
    <n v="0.34"/>
    <x v="4"/>
    <s v="Produits financiers"/>
    <x v="2"/>
    <n v="76"/>
    <s v="Produits exceptionnels"/>
  </r>
  <r>
    <x v="5"/>
    <s v="BQ"/>
    <m/>
    <d v="2024-05-31T00:00:00"/>
    <s v="CHEQUE EMIS Com Mai     "/>
    <m/>
    <m/>
    <n v="65.989999999999995"/>
    <n v="1132.944"/>
    <s v="ADM"/>
    <x v="15"/>
    <s v="ADMINIST ET FONCT"/>
    <x v="15"/>
    <n v="623000"/>
    <n v="-65.989999999999995"/>
    <x v="4"/>
    <s v="Publicité, publications, Création de site web"/>
    <x v="1"/>
    <n v="62"/>
    <s v="Autres services extérieurs"/>
  </r>
  <r>
    <x v="5"/>
    <s v="BQ"/>
    <m/>
    <d v="2024-06-05T00:00:00"/>
    <s v="CHEQUE EMIS Achat Encre et rame"/>
    <m/>
    <m/>
    <n v="73.09"/>
    <n v="1059.854"/>
    <s v="ADM"/>
    <x v="6"/>
    <s v="ADMINIST ET FONCT"/>
    <x v="6"/>
    <n v="606400"/>
    <n v="-73.09"/>
    <x v="4"/>
    <s v="Fournitures administratives"/>
    <x v="1"/>
    <n v="60"/>
    <s v="Achat"/>
  </r>
  <r>
    <x v="5"/>
    <s v="BQ"/>
    <m/>
    <d v="2024-06-13T00:00:00"/>
    <s v="Adhésion BOUYER"/>
    <m/>
    <n v="100"/>
    <m/>
    <n v="1159.854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5"/>
    <s v="BQ"/>
    <m/>
    <d v="2024-06-16T00:00:00"/>
    <s v="Adhésion Evelyne LAFON/ Yapla"/>
    <m/>
    <n v="30"/>
    <m/>
    <n v="1189.854"/>
    <s v="ADM"/>
    <x v="7"/>
    <s v="ADMINIST ET FONCT"/>
    <x v="7"/>
    <n v="758100"/>
    <n v="30"/>
    <x v="4"/>
    <s v="Cotisations individuelles et associatives"/>
    <x v="2"/>
    <n v="75"/>
    <s v="Autres produits de gestion courante"/>
  </r>
  <r>
    <x v="5"/>
    <s v="BQ"/>
    <m/>
    <d v="2024-06-16T00:00:00"/>
    <s v="Adhésion brigite BOHUON yapla"/>
    <m/>
    <n v="10"/>
    <m/>
    <n v="1199.854"/>
    <s v="ADM"/>
    <x v="7"/>
    <s v="ADMINIST ET FONCT"/>
    <x v="7"/>
    <n v="758100"/>
    <n v="10"/>
    <x v="4"/>
    <s v="Cotisations individuelles et associatives"/>
    <x v="2"/>
    <n v="75"/>
    <s v="Autres produits de gestion courante"/>
  </r>
  <r>
    <x v="5"/>
    <s v="BQ"/>
    <m/>
    <d v="2024-07-03T00:00:00"/>
    <s v="Jean Jacques COMBAREL"/>
    <m/>
    <n v="20"/>
    <m/>
    <n v="1219.854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5"/>
    <s v="BQ"/>
    <m/>
    <d v="2024-07-07T00:00:00"/>
    <s v="CHEQUE EMIS  Timbre chèq   "/>
    <m/>
    <m/>
    <n v="13.92"/>
    <n v="1205.934"/>
    <s v="ADM"/>
    <x v="2"/>
    <s v="ADMINIST ET FONCT"/>
    <x v="2"/>
    <n v="626100"/>
    <n v="-13.92"/>
    <x v="4"/>
    <s v="Frais postaux"/>
    <x v="1"/>
    <n v="62"/>
    <s v="Autres services extérieurs"/>
  </r>
  <r>
    <x v="5"/>
    <s v="BQ"/>
    <m/>
    <d v="2024-07-07T00:00:00"/>
    <s v="CHEQUE EMIS  Com juin "/>
    <m/>
    <m/>
    <n v="70.41"/>
    <n v="1135.5239999999999"/>
    <s v="ADM"/>
    <x v="15"/>
    <s v="ADMINIST ET FONCT"/>
    <x v="15"/>
    <n v="623000"/>
    <n v="-70.41"/>
    <x v="4"/>
    <s v="Publicité, publications, Création de site web"/>
    <x v="1"/>
    <n v="62"/>
    <s v="Autres services extérieurs"/>
  </r>
  <r>
    <x v="5"/>
    <s v="BQ"/>
    <m/>
    <d v="2024-07-07T00:00:00"/>
    <s v="Adhésion SAVIGNOL"/>
    <m/>
    <n v="100"/>
    <m/>
    <n v="1235.5239999999999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5"/>
    <s v="BQ"/>
    <m/>
    <d v="2024-07-07T00:00:00"/>
    <s v="DON CYGNE DE VIE, 37866220"/>
    <m/>
    <n v="1200"/>
    <m/>
    <n v="2435.5239999999999"/>
    <s v="ADM"/>
    <x v="4"/>
    <s v="ADMINIST ET FONCT"/>
    <x v="4"/>
    <n v="777100"/>
    <n v="1200"/>
    <x v="4"/>
    <s v="Dons et autres mises à dispositions gratuites"/>
    <x v="2"/>
    <n v="77"/>
    <s v="Produits exceptionnels"/>
  </r>
  <r>
    <x v="5"/>
    <s v="BQ"/>
    <m/>
    <d v="2024-07-17T00:00:00"/>
    <s v="VIR LEMONWAY MEMBOGO-507792 YAPLA "/>
    <m/>
    <n v="50"/>
    <m/>
    <n v="2485.5239999999999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5"/>
    <s v="BQ"/>
    <m/>
    <d v="2024-08-01T00:00:00"/>
    <s v="VIR LEMONWAY MEMBOGO-534776 YAPLA "/>
    <m/>
    <n v="30"/>
    <m/>
    <n v="2515.5239999999999"/>
    <s v="ADM"/>
    <x v="7"/>
    <s v="ADMINIST ET FONCT"/>
    <x v="7"/>
    <n v="758100"/>
    <n v="30"/>
    <x v="4"/>
    <s v="Cotisations individuelles et associatives"/>
    <x v="2"/>
    <n v="75"/>
    <s v="Autres produits de gestion courante"/>
  </r>
  <r>
    <x v="5"/>
    <s v="BQ"/>
    <m/>
    <d v="2024-08-30T00:00:00"/>
    <s v="MESPLE Isabelle"/>
    <m/>
    <n v="50"/>
    <m/>
    <n v="2565.5239999999999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5"/>
    <s v="BQ"/>
    <m/>
    <d v="2024-09-02T00:00:00"/>
    <s v="Adhésion Bodjok Namka et BOUTOU Eloi,"/>
    <m/>
    <n v="60"/>
    <m/>
    <n v="2625.5239999999999"/>
    <s v="ADM"/>
    <x v="7"/>
    <s v="ADMINIST ET FONCT"/>
    <x v="7"/>
    <n v="758100"/>
    <n v="60"/>
    <x v="4"/>
    <s v="Cotisations individuelles et associatives"/>
    <x v="2"/>
    <n v="75"/>
    <s v="Autres produits de gestion courante"/>
  </r>
  <r>
    <x v="5"/>
    <s v="BQ"/>
    <m/>
    <d v="2024-09-07T00:00:00"/>
    <s v="CHEQUE EMIS Com juin juillet-Août             "/>
    <m/>
    <m/>
    <n v="127.71"/>
    <n v="2497.8139999999999"/>
    <s v="ADM"/>
    <x v="15"/>
    <s v="ADMINIST ET FONCT"/>
    <x v="15"/>
    <n v="623000"/>
    <n v="-127.71"/>
    <x v="4"/>
    <s v="Publicité, publications, Création de site web"/>
    <x v="1"/>
    <n v="62"/>
    <s v="Autres services extérieurs"/>
  </r>
  <r>
    <x v="5"/>
    <s v="BQ"/>
    <m/>
    <d v="2024-09-07T00:00:00"/>
    <s v="CHEQUE EMIS Com juin juillet-Août             "/>
    <m/>
    <n v="467.2"/>
    <m/>
    <n v="2965.0139999999997"/>
    <s v="ADM"/>
    <x v="15"/>
    <s v="ADMINIST ET FONCT"/>
    <x v="15"/>
    <n v="623000"/>
    <n v="467.2"/>
    <x v="4"/>
    <s v="Publicité, publications, Création de site web"/>
    <x v="1"/>
    <n v="62"/>
    <s v="Autres services extérieurs"/>
  </r>
  <r>
    <x v="5"/>
    <s v="BQ"/>
    <m/>
    <d v="2024-10-02T00:00:00"/>
    <s v="Adhésion "/>
    <m/>
    <n v="10"/>
    <m/>
    <n v="2975.0139999999997"/>
    <s v="ADM"/>
    <x v="7"/>
    <s v="ADMINIST ET FONCT"/>
    <x v="7"/>
    <n v="758100"/>
    <n v="10"/>
    <x v="4"/>
    <s v="Cotisations individuelles et associatives"/>
    <x v="2"/>
    <n v="75"/>
    <s v="Autres produits de gestion courante"/>
  </r>
  <r>
    <x v="5"/>
    <s v="BQ"/>
    <m/>
    <d v="2024-10-02T00:00:00"/>
    <s v="Adhésion FLAFON"/>
    <m/>
    <n v="50"/>
    <m/>
    <n v="3025.0139999999997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5"/>
    <s v="BQ"/>
    <m/>
    <d v="2024-12-01T00:00:00"/>
    <s v="VIREMENT  YAPLA AURORE            "/>
    <m/>
    <n v="20"/>
    <m/>
    <n v="3045.0139999999997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5"/>
    <s v="BQ"/>
    <m/>
    <d v="2024-11-14T00:00:00"/>
    <s v="CHEQUE EMIS 3327435"/>
    <m/>
    <m/>
    <n v="123.98"/>
    <n v="2921.0339999999997"/>
    <s v="ADM"/>
    <x v="15"/>
    <s v="ADMINIST ET FONCT"/>
    <x v="15"/>
    <n v="623000"/>
    <n v="-123.98"/>
    <x v="4"/>
    <s v="Publicité, publications, Création de site web"/>
    <x v="1"/>
    <n v="62"/>
    <s v="Autres services extérieurs"/>
  </r>
  <r>
    <x v="5"/>
    <s v="BQ"/>
    <m/>
    <d v="2024-11-14T00:00:00"/>
    <s v="AFF COMM ECOSAN"/>
    <m/>
    <n v="99.184000000000012"/>
    <m/>
    <n v="3020.2179999999998"/>
    <s v="ADM"/>
    <x v="15"/>
    <s v="ADMINIST ET FONCT"/>
    <x v="15"/>
    <n v="623000"/>
    <n v="99.184000000000012"/>
    <x v="4"/>
    <s v="Publicité, publications, Création de site web"/>
    <x v="1"/>
    <n v="62"/>
    <s v="Autres services extérieurs"/>
  </r>
  <r>
    <x v="5"/>
    <s v="BQ"/>
    <m/>
    <d v="2024-11-14T00:00:00"/>
    <s v="REMISE DE CHEQUE 3625686 "/>
    <m/>
    <n v="70"/>
    <m/>
    <n v="3090.2179999999998"/>
    <s v="ADM"/>
    <x v="7"/>
    <s v="ADMINIST ET FONCT"/>
    <x v="7"/>
    <n v="758100"/>
    <n v="70"/>
    <x v="4"/>
    <s v="Cotisations individuelles et associatives"/>
    <x v="2"/>
    <n v="75"/>
    <s v="Autres produits de gestion courante"/>
  </r>
  <r>
    <x v="5"/>
    <s v="BQ"/>
    <m/>
    <d v="2024-11-07T00:00:00"/>
    <s v="VIREMENT EN VOTRE FAVEUR_x000a_Stripe Technology Europe Ltd HelloAsso Q4V0E8 "/>
    <m/>
    <n v="100"/>
    <m/>
    <n v="3190.2179999999998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5"/>
    <s v="BQ"/>
    <m/>
    <d v="2024-11-03T00:00:00"/>
    <s v="VIREMENT YAPLA  CHRISTELLE_x000a_      "/>
    <m/>
    <n v="100"/>
    <m/>
    <n v="3290.2179999999998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5"/>
    <s v="BQ"/>
    <m/>
    <d v="2024-10-17T00:00:00"/>
    <s v="                           "/>
    <m/>
    <n v="434.78"/>
    <m/>
    <n v="3724.9979999999996"/>
    <s v="ADM"/>
    <x v="4"/>
    <s v="ADMINIST ET FONCT"/>
    <x v="4"/>
    <n v="777100"/>
    <n v="434.78"/>
    <x v="4"/>
    <s v="Dons et autres mises à dispositions gratuites"/>
    <x v="2"/>
    <n v="77"/>
    <s v="Produits exceptionnels"/>
  </r>
  <r>
    <x v="5"/>
    <s v="BQ"/>
    <m/>
    <d v="2024-06-30T00:00:00"/>
    <s v="Étude et Prospection hydrogéologique et  géographique 2 forages"/>
    <m/>
    <m/>
    <n v="500"/>
    <n v="3224.9979999999996"/>
    <s v="EP"/>
    <x v="18"/>
    <s v="EAU POTABLE"/>
    <x v="18"/>
    <n v="611000"/>
    <n v="-500"/>
    <x v="4"/>
    <s v="Sous-traitance générale "/>
    <x v="1"/>
    <n v="61"/>
    <s v="Services extérieurs"/>
  </r>
  <r>
    <x v="5"/>
    <s v="BQ"/>
    <m/>
    <d v="2024-06-30T00:00:00"/>
    <s v="Frais de rédaction de projet et suivi comptable"/>
    <m/>
    <m/>
    <n v="875"/>
    <n v="2349.9979999999996"/>
    <s v="EP"/>
    <x v="18"/>
    <s v="EAU POTABLE"/>
    <x v="18"/>
    <n v="611000"/>
    <n v="-875"/>
    <x v="4"/>
    <s v="Sous-traitance générale "/>
    <x v="1"/>
    <n v="61"/>
    <s v="Services extérieurs"/>
  </r>
  <r>
    <x v="5"/>
    <s v="BQ"/>
    <m/>
    <d v="2024-06-30T00:00:00"/>
    <s v="indemnité de suivi et gestion du projet dans le pays local concerné"/>
    <m/>
    <m/>
    <n v="744.25"/>
    <n v="1605.7479999999996"/>
    <s v="EP"/>
    <x v="18"/>
    <s v="EAU POTABLE"/>
    <x v="18"/>
    <n v="611000"/>
    <n v="-744.25"/>
    <x v="4"/>
    <s v="Sous-traitance générale "/>
    <x v="1"/>
    <n v="61"/>
    <s v="Services extérieurs"/>
  </r>
  <r>
    <x v="5"/>
    <s v="BQ"/>
    <m/>
    <d v="2024-06-30T00:00:00"/>
    <s v="Déplacements (billet d'avion, location de voiture dans le pays)"/>
    <m/>
    <m/>
    <n v="875"/>
    <n v="730.74799999999959"/>
    <s v="EP"/>
    <x v="16"/>
    <s v="EAU POTABLE"/>
    <x v="16"/>
    <n v="625000"/>
    <n v="-875"/>
    <x v="4"/>
    <s v="Déplacements, missions et réceptions"/>
    <x v="1"/>
    <n v="62"/>
    <s v="Autres services extérieurs"/>
  </r>
  <r>
    <x v="5"/>
    <s v="BQ"/>
    <m/>
    <d v="2024-06-30T00:00:00"/>
    <s v="Hébergement"/>
    <m/>
    <m/>
    <n v="375"/>
    <n v="355.74799999999959"/>
    <s v="EP"/>
    <x v="16"/>
    <s v="EAU POTABLE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Restauration"/>
    <m/>
    <m/>
    <n v="375"/>
    <n v="-19.252000000000407"/>
    <s v="EP"/>
    <x v="16"/>
    <s v="EAU POTABLE"/>
    <x v="16"/>
    <n v="625000"/>
    <n v="-375"/>
    <x v="4"/>
    <s v="Déplacements, missions et réceptions"/>
    <x v="1"/>
    <n v="62"/>
    <s v="Autres services extérieurs"/>
  </r>
  <r>
    <x v="5"/>
    <s v="BQ"/>
    <m/>
    <d v="2024-06-30T00:00:00"/>
    <s v="Préparation, amenée, installation générale et foration"/>
    <m/>
    <m/>
    <n v="8932.25"/>
    <n v="-8951.5020000000004"/>
    <s v="EP"/>
    <x v="18"/>
    <s v="EAU POTABLE"/>
    <x v="18"/>
    <n v="611000"/>
    <n v="-8932.25"/>
    <x v="4"/>
    <s v="Sous-traitance générale "/>
    <x v="1"/>
    <n v="61"/>
    <s v="Services extérieurs"/>
  </r>
  <r>
    <x v="5"/>
    <s v="BQ"/>
    <m/>
    <d v="2024-06-30T00:00:00"/>
    <s v="Fournitures et panneaux solaires"/>
    <m/>
    <m/>
    <n v="3795.5"/>
    <n v="-12747.002"/>
    <s v="EP"/>
    <x v="18"/>
    <s v="EAU POTABLE"/>
    <x v="18"/>
    <n v="611000"/>
    <n v="-3795.5"/>
    <x v="4"/>
    <s v="Sous-traitance générale "/>
    <x v="1"/>
    <n v="61"/>
    <s v="Services extérieurs"/>
  </r>
  <r>
    <x v="5"/>
    <s v="BQ"/>
    <m/>
    <d v="2024-06-30T00:00:00"/>
    <s v="Plomberie, construction de bornes fontaines de 2*6 robinets"/>
    <m/>
    <m/>
    <n v="1628.5"/>
    <n v="-14375.502"/>
    <s v="EP"/>
    <x v="18"/>
    <s v="EAU POTABLE"/>
    <x v="18"/>
    <n v="611000"/>
    <n v="-1628.5"/>
    <x v="4"/>
    <s v="Sous-traitance générale "/>
    <x v="1"/>
    <n v="61"/>
    <s v="Services extérieurs"/>
  </r>
  <r>
    <x v="5"/>
    <s v="BQ"/>
    <m/>
    <d v="2024-06-30T00:00:00"/>
    <s v="Déplacement et essais pompages"/>
    <m/>
    <m/>
    <n v="311"/>
    <n v="-14686.502"/>
    <s v="EP"/>
    <x v="18"/>
    <s v="EAU POTABLE"/>
    <x v="18"/>
    <n v="611000"/>
    <n v="-311"/>
    <x v="4"/>
    <s v="Sous-traitance générale "/>
    <x v="1"/>
    <n v="61"/>
    <s v="Services extérieurs"/>
  </r>
  <r>
    <x v="5"/>
    <s v="BQ"/>
    <m/>
    <d v="2024-06-30T00:00:00"/>
    <s v="Analyse physico-chimique de l’eau"/>
    <m/>
    <m/>
    <n v="300"/>
    <n v="-14986.502"/>
    <s v="EP"/>
    <x v="18"/>
    <s v="EAU POTABLE"/>
    <x v="18"/>
    <n v="611000"/>
    <n v="-300"/>
    <x v="4"/>
    <s v="Sous-traitance générale "/>
    <x v="1"/>
    <n v="61"/>
    <s v="Services extérieurs"/>
  </r>
  <r>
    <x v="5"/>
    <s v="BQ"/>
    <m/>
    <d v="2024-06-30T00:00:00"/>
    <s v="Suivi contrôle par un technicien hydrogéologue"/>
    <m/>
    <m/>
    <n v="400"/>
    <n v="-15386.502"/>
    <s v="EP"/>
    <x v="18"/>
    <s v="EAU POTABLE"/>
    <x v="18"/>
    <n v="611000"/>
    <n v="-400"/>
    <x v="4"/>
    <s v="Sous-traitance générale "/>
    <x v="1"/>
    <n v="61"/>
    <s v="Services extérieurs"/>
  </r>
  <r>
    <x v="5"/>
    <s v="BQ"/>
    <m/>
    <d v="2024-06-30T00:00:00"/>
    <s v="Main d'œuvre pour l'ensemble"/>
    <m/>
    <m/>
    <n v="2750"/>
    <n v="-18136.502"/>
    <s v="EP"/>
    <x v="18"/>
    <s v="EAU POTABLE"/>
    <x v="18"/>
    <n v="611000"/>
    <n v="-2750"/>
    <x v="4"/>
    <s v="Sous-traitance générale "/>
    <x v="1"/>
    <n v="61"/>
    <s v="Services extérieurs"/>
  </r>
  <r>
    <x v="5"/>
    <s v="BQ"/>
    <m/>
    <d v="2024-06-30T00:00:00"/>
    <s v="Construction de 23 toilettes écologiques  Ecosan"/>
    <m/>
    <m/>
    <n v="8275"/>
    <n v="-26411.502"/>
    <s v="EP"/>
    <x v="18"/>
    <s v="EAU POTABLE"/>
    <x v="18"/>
    <n v="611000"/>
    <n v="-8275"/>
    <x v="4"/>
    <s v="Sous-traitance générale "/>
    <x v="1"/>
    <n v="61"/>
    <s v="Services extérieurs"/>
  </r>
  <r>
    <x v="5"/>
    <s v="BQ"/>
    <m/>
    <d v="2024-06-30T00:00:00"/>
    <s v="Formation des outils de travail et de gestion COGES-EA"/>
    <m/>
    <m/>
    <n v="200"/>
    <n v="-26611.502"/>
    <s v="EP"/>
    <x v="32"/>
    <s v="EAU POTABLE"/>
    <x v="32"/>
    <n v="622800"/>
    <n v="-200"/>
    <x v="4"/>
    <s v="Frais de formation"/>
    <x v="1"/>
    <n v="62"/>
    <s v="Autres services extérieurs"/>
  </r>
  <r>
    <x v="5"/>
    <s v="BQ"/>
    <m/>
    <d v="2024-06-30T00:00:00"/>
    <s v="Sensibilisation des parents d'élèves sur l'importance de l'education de la jeune fille / l'eau et assainissement"/>
    <m/>
    <m/>
    <n v="362.5"/>
    <n v="-26974.002"/>
    <s v="EP"/>
    <x v="32"/>
    <s v="EAU POTABLE"/>
    <x v="32"/>
    <n v="622800"/>
    <n v="-362.5"/>
    <x v="4"/>
    <s v="Frais de formation"/>
    <x v="1"/>
    <n v="62"/>
    <s v="Autres services extérieurs"/>
  </r>
  <r>
    <x v="5"/>
    <s v="BQ"/>
    <m/>
    <d v="2024-06-30T00:00:00"/>
    <s v="Sensibilisation sur l'hygiène et  assainissement de la population  (méthode PHAST)"/>
    <m/>
    <m/>
    <n v="450"/>
    <n v="-27424.002"/>
    <s v="EP"/>
    <x v="32"/>
    <s v="EAU POTABLE"/>
    <x v="32"/>
    <n v="622800"/>
    <n v="-450"/>
    <x v="4"/>
    <s v="Frais de formation"/>
    <x v="1"/>
    <n v="62"/>
    <s v="Autres services extérieurs"/>
  </r>
  <r>
    <x v="5"/>
    <s v="BQ"/>
    <m/>
    <d v="2024-06-30T00:00:00"/>
    <s v="Formation des agriculteurs sur la méthode de vidange et achat de matériel de vidange pour 10 agriculteurs"/>
    <m/>
    <m/>
    <n v="500"/>
    <n v="-27924.002"/>
    <s v="EP"/>
    <x v="32"/>
    <s v="EAU POTABLE"/>
    <x v="32"/>
    <n v="622800"/>
    <n v="-500"/>
    <x v="4"/>
    <s v="Frais de formation"/>
    <x v="1"/>
    <n v="62"/>
    <s v="Autres services extérieurs"/>
  </r>
  <r>
    <x v="5"/>
    <s v="BQ"/>
    <m/>
    <d v="2024-06-30T00:00:00"/>
    <s v="Suivi des maladies liées à l'eau et assainissement dans les dispensaires les plus proches"/>
    <m/>
    <m/>
    <n v="300"/>
    <n v="-28224.002"/>
    <s v="EP"/>
    <x v="18"/>
    <s v="EAU POTABLE"/>
    <x v="18"/>
    <n v="611000"/>
    <n v="-300"/>
    <x v="4"/>
    <s v="Sous-traitance générale "/>
    <x v="1"/>
    <n v="61"/>
    <s v="Services extérieurs"/>
  </r>
  <r>
    <x v="5"/>
    <s v="BQ"/>
    <m/>
    <d v="2024-06-30T00:00:00"/>
    <s v="Frais de reboisement des 2 sites"/>
    <m/>
    <m/>
    <n v="75"/>
    <n v="-28299.002"/>
    <s v="EP"/>
    <x v="18"/>
    <s v="EAU POTABLE"/>
    <x v="18"/>
    <n v="611000"/>
    <n v="-75"/>
    <x v="4"/>
    <s v="Sous-traitance générale "/>
    <x v="1"/>
    <n v="61"/>
    <s v="Services extérieurs"/>
  </r>
  <r>
    <x v="5"/>
    <s v="BQ"/>
    <m/>
    <d v="2024-06-30T00:00:00"/>
    <s v="Communication "/>
    <m/>
    <m/>
    <n v="450"/>
    <n v="-28749.002"/>
    <s v="EP"/>
    <x v="15"/>
    <s v="EAU POTABLE"/>
    <x v="15"/>
    <n v="623000"/>
    <n v="-450"/>
    <x v="4"/>
    <s v="Publicité, publications, Création de site web"/>
    <x v="1"/>
    <n v="62"/>
    <s v="Autres services extérieurs"/>
  </r>
  <r>
    <x v="5"/>
    <s v="BQ"/>
    <m/>
    <d v="2024-06-30T00:00:00"/>
    <s v="Capitalisation"/>
    <m/>
    <m/>
    <n v="250"/>
    <n v="-28999.002"/>
    <s v="EP"/>
    <x v="18"/>
    <s v="EAU POTABLE"/>
    <x v="18"/>
    <n v="611000"/>
    <n v="-250"/>
    <x v="4"/>
    <s v="Sous-traitance générale "/>
    <x v="1"/>
    <n v="61"/>
    <s v="Services extérieurs"/>
  </r>
  <r>
    <x v="5"/>
    <s v="BQ"/>
    <m/>
    <d v="2024-06-30T00:00:00"/>
    <s v="Evaluation externe du projet sur le terrain"/>
    <m/>
    <m/>
    <n v="450"/>
    <n v="-29449.002"/>
    <s v="EP"/>
    <x v="18"/>
    <s v="EAU POTABLE"/>
    <x v="18"/>
    <n v="611000"/>
    <n v="-450"/>
    <x v="4"/>
    <s v="Sous-traitance générale "/>
    <x v="1"/>
    <n v="61"/>
    <s v="Services extérieurs"/>
  </r>
  <r>
    <x v="5"/>
    <s v="BQ"/>
    <m/>
    <d v="2024-06-30T00:00:00"/>
    <s v="Consommables bureautique"/>
    <m/>
    <m/>
    <n v="337.5"/>
    <n v="-29786.502"/>
    <s v="EP"/>
    <x v="18"/>
    <s v="EAU POTABLE"/>
    <x v="18"/>
    <n v="611000"/>
    <n v="-337.5"/>
    <x v="4"/>
    <s v="Sous-traitance générale "/>
    <x v="1"/>
    <n v="61"/>
    <s v="Services extérieurs"/>
  </r>
  <r>
    <x v="5"/>
    <s v="BQ"/>
    <m/>
    <d v="2024-06-30T00:00:00"/>
    <s v="Ceremonie de réception des 2 forages"/>
    <m/>
    <m/>
    <n v="325"/>
    <n v="-30111.502"/>
    <s v="EP"/>
    <x v="18"/>
    <s v="EAU POTABLE"/>
    <x v="18"/>
    <n v="611000"/>
    <n v="-325"/>
    <x v="4"/>
    <s v="Sous-traitance générale "/>
    <x v="1"/>
    <n v="61"/>
    <s v="Services extérieurs"/>
  </r>
  <r>
    <x v="5"/>
    <s v="BQ"/>
    <m/>
    <d v="2024-06-30T00:00:00"/>
    <s v="Fabrication des plaques d'identification des forages (logos partenaires)"/>
    <m/>
    <m/>
    <n v="200"/>
    <n v="-30311.502"/>
    <s v="EP"/>
    <x v="18"/>
    <s v="EAU POTABLE"/>
    <x v="18"/>
    <n v="611000"/>
    <n v="-200"/>
    <x v="4"/>
    <s v="Sous-traitance générale "/>
    <x v="1"/>
    <n v="61"/>
    <s v="Services extérieurs"/>
  </r>
  <r>
    <x v="5"/>
    <s v="BQ"/>
    <m/>
    <d v="2024-06-30T00:00:00"/>
    <s v="Bénévolat des membres des associations"/>
    <m/>
    <m/>
    <n v="1087.5"/>
    <n v="-31399.002"/>
    <s v="EP"/>
    <x v="11"/>
    <s v="EAU POTABLE"/>
    <x v="11"/>
    <n v="862000"/>
    <n v="-1087.5"/>
    <x v="4"/>
    <s v="Prestations"/>
    <x v="1"/>
    <n v="86"/>
    <s v="Emplois des contributions volontaires"/>
  </r>
  <r>
    <x v="5"/>
    <s v="BQ"/>
    <m/>
    <d v="2024-06-30T00:00:00"/>
    <s v="Fonds propres ou assimilés"/>
    <m/>
    <m/>
    <m/>
    <n v="-31399.002"/>
    <s v="EP"/>
    <x v="41"/>
    <s v="EAU POTABLE"/>
    <x v="41"/>
    <n v="777000"/>
    <n v="0"/>
    <x v="4"/>
    <s v="Produits exceptionnels"/>
    <x v="2"/>
    <n v="77"/>
    <s v="Produits exceptionnels"/>
  </r>
  <r>
    <x v="5"/>
    <s v="BQ"/>
    <m/>
    <d v="2024-06-30T00:00:00"/>
    <s v="Subvention Fraternité"/>
    <m/>
    <n v="875"/>
    <m/>
    <n v="-29436.502"/>
    <s v="EP"/>
    <x v="34"/>
    <s v="EAU POTABLE"/>
    <x v="43"/>
    <n v="748000"/>
    <n v="875"/>
    <x v="4"/>
    <s v="Mairie de Teuillac"/>
    <x v="2"/>
    <n v="74"/>
    <s v="Subventions d'exploitation"/>
  </r>
  <r>
    <x v="6"/>
    <s v="BQ"/>
    <m/>
    <d v="2024-06-30T00:00:00"/>
    <s v="Subvention Fraternité"/>
    <m/>
    <m/>
    <m/>
    <n v="-31399.002"/>
    <s v="EP"/>
    <x v="34"/>
    <s v="EAU POTABLE"/>
    <x v="43"/>
    <n v="748000"/>
    <n v="0"/>
    <x v="4"/>
    <s v="Mairie de Teuillac"/>
    <x v="2"/>
    <n v="74"/>
    <s v="Subventions d'exploitation"/>
  </r>
  <r>
    <x v="5"/>
    <s v="BQ"/>
    <m/>
    <d v="2024-06-30T00:00:00"/>
    <s v="Bordeaux metropole"/>
    <m/>
    <n v="10000"/>
    <m/>
    <n v="-21399.002"/>
    <s v="EP"/>
    <x v="43"/>
    <s v="EAU POTABLE"/>
    <x v="44"/>
    <n v="744000"/>
    <n v="10000"/>
    <x v="4"/>
    <s v="Subvention Bx Métropole"/>
    <x v="2"/>
    <n v="74"/>
    <s v="Subventions d'exploitation"/>
  </r>
  <r>
    <x v="5"/>
    <s v="BQ"/>
    <m/>
    <d v="2024-06-30T00:00:00"/>
    <s v="Agence de l'Eau Adour Garonne"/>
    <m/>
    <n v="18530.25"/>
    <m/>
    <n v="-2868.7520000000004"/>
    <s v="EP"/>
    <x v="40"/>
    <s v="EAU POTABLE"/>
    <x v="40"/>
    <n v="743000"/>
    <n v="18530.25"/>
    <x v="4"/>
    <s v="subvention Agence Adour Garonne"/>
    <x v="2"/>
    <n v="74"/>
    <s v="Subventions d'exploitation"/>
  </r>
  <r>
    <x v="5"/>
    <s v="BQ"/>
    <m/>
    <d v="2024-06-30T00:00:00"/>
    <s v="Aglo de Brive / Valorem"/>
    <m/>
    <n v="3750"/>
    <m/>
    <n v="-17649.002"/>
    <s v="EP"/>
    <x v="44"/>
    <s v="EAU POTABLE"/>
    <x v="45"/>
    <n v="745000"/>
    <n v="3750"/>
    <x v="4"/>
    <s v="Subv Aglo de Brive / Valorem"/>
    <x v="2"/>
    <n v="74"/>
    <s v="Subventions d'exploitation"/>
  </r>
  <r>
    <x v="5"/>
    <s v="BQ"/>
    <m/>
    <d v="2024-06-30T00:00:00"/>
    <s v="ressources valorisées"/>
    <m/>
    <n v="1087.5"/>
    <m/>
    <n v="-1781.2520000000004"/>
    <s v="EP"/>
    <x v="10"/>
    <s v="EAU POTABLE"/>
    <x v="10"/>
    <n v="871000"/>
    <n v="1087.5"/>
    <x v="4"/>
    <s v="Prestations en nature"/>
    <x v="2"/>
    <n v="87"/>
    <s v="Contributions volontaires"/>
  </r>
  <r>
    <x v="5"/>
    <s v="BQ"/>
    <m/>
    <d v="2024-03-31T00:00:00"/>
    <s v="CONVENTION ICTDP"/>
    <m/>
    <m/>
    <n v="300"/>
    <n v="-17949.002"/>
    <s v="ADM"/>
    <x v="8"/>
    <s v="ADMINIST ET FONCT"/>
    <x v="8"/>
    <n v="604000"/>
    <n v="-300"/>
    <x v="4"/>
    <s v="Prestations de services (Hydrogéologue Nokbak)"/>
    <x v="1"/>
    <n v="60"/>
    <s v="Achat"/>
  </r>
  <r>
    <x v="5"/>
    <s v="BQ"/>
    <m/>
    <d v="2024-06-30T00:00:00"/>
    <s v="CONVENTION ICTDP"/>
    <m/>
    <m/>
    <n v="300"/>
    <n v="-2081.2520000000004"/>
    <s v="ADM"/>
    <x v="8"/>
    <s v="ADMINIST ET FONCT"/>
    <x v="8"/>
    <n v="604000"/>
    <n v="-300"/>
    <x v="4"/>
    <s v="Prestations de services (Hydrogéologue Nokbak)"/>
    <x v="1"/>
    <n v="60"/>
    <s v="Achat"/>
  </r>
  <r>
    <x v="5"/>
    <s v="BQ"/>
    <m/>
    <d v="2024-09-30T00:00:00"/>
    <s v="CONVENTION ICTDP"/>
    <m/>
    <m/>
    <n v="300"/>
    <n v="-18249.002"/>
    <s v="ADM"/>
    <x v="8"/>
    <s v="ADMINIST ET FONCT"/>
    <x v="8"/>
    <n v="604000"/>
    <n v="-300"/>
    <x v="4"/>
    <s v="Prestations de services (Hydrogéologue Nokbak)"/>
    <x v="1"/>
    <n v="60"/>
    <s v="Achat"/>
  </r>
  <r>
    <x v="5"/>
    <s v="BQ"/>
    <m/>
    <d v="2024-12-31T00:00:00"/>
    <s v="CONVENTION ICTDP"/>
    <m/>
    <m/>
    <n v="300"/>
    <n v="-2381.2520000000004"/>
    <s v="ADM"/>
    <x v="8"/>
    <s v="ADMINIST ET FONCT"/>
    <x v="8"/>
    <n v="604000"/>
    <n v="-300"/>
    <x v="4"/>
    <s v="Prestations de services (Hydrogéologue Nokbak)"/>
    <x v="1"/>
    <n v="60"/>
    <s v="Achat"/>
  </r>
  <r>
    <x v="5"/>
    <s v="BQ"/>
    <m/>
    <d v="2024-03-31T00:00:00"/>
    <s v="DON JPL"/>
    <m/>
    <n v="300"/>
    <m/>
    <n v="-17949.002"/>
    <s v="ADM"/>
    <x v="41"/>
    <s v="ADMINIST ET FONCT"/>
    <x v="41"/>
    <n v="777000"/>
    <n v="300"/>
    <x v="4"/>
    <s v="Produits exceptionnels"/>
    <x v="2"/>
    <n v="77"/>
    <s v="Produits exceptionnels"/>
  </r>
  <r>
    <x v="5"/>
    <s v="BQ"/>
    <m/>
    <d v="2024-06-30T00:00:00"/>
    <s v="DON JPL"/>
    <m/>
    <n v="300"/>
    <m/>
    <n v="-2081.2520000000004"/>
    <s v="ADM"/>
    <x v="41"/>
    <s v="ADMINIST ET FONCT"/>
    <x v="41"/>
    <n v="777000"/>
    <n v="300"/>
    <x v="4"/>
    <s v="Produits exceptionnels"/>
    <x v="2"/>
    <n v="77"/>
    <s v="Produits exceptionnels"/>
  </r>
  <r>
    <x v="5"/>
    <s v="BQ"/>
    <m/>
    <d v="2024-09-30T00:00:00"/>
    <s v="DON JPL"/>
    <m/>
    <n v="300"/>
    <m/>
    <n v="-17649.002"/>
    <s v="ADM"/>
    <x v="41"/>
    <s v="ADMINIST ET FONCT"/>
    <x v="41"/>
    <n v="777000"/>
    <n v="300"/>
    <x v="4"/>
    <s v="Produits exceptionnels"/>
    <x v="2"/>
    <n v="77"/>
    <s v="Produits exceptionnels"/>
  </r>
  <r>
    <x v="5"/>
    <s v="BQ"/>
    <m/>
    <d v="2024-12-31T00:00:00"/>
    <s v="DON JPL"/>
    <m/>
    <n v="300"/>
    <m/>
    <n v="-1781.2520000000004"/>
    <s v="ADM"/>
    <x v="41"/>
    <s v="ADMINIST ET FONCT"/>
    <x v="41"/>
    <n v="777000"/>
    <n v="300"/>
    <x v="4"/>
    <s v="Produits exceptionnels"/>
    <x v="2"/>
    <n v="77"/>
    <s v="Produits exceptionnels"/>
  </r>
  <r>
    <x v="0"/>
    <s v="BQ"/>
    <m/>
    <d v="2024-01-01T00:00:00"/>
    <s v="solde ouverture"/>
    <m/>
    <n v="15"/>
    <m/>
    <n v="15"/>
    <s v="ADM"/>
    <x v="0"/>
    <s v="ADMINIST ET FONCT"/>
    <x v="0"/>
    <n v="512000"/>
    <n v="15"/>
    <x v="4"/>
    <s v="Banque"/>
    <x v="0"/>
    <n v="50"/>
    <s v="Trésorerie"/>
  </r>
  <r>
    <x v="0"/>
    <s v="BQ"/>
    <m/>
    <d v="2024-01-01T00:00:00"/>
    <s v="solde ouverture"/>
    <m/>
    <n v="4530.2200000000012"/>
    <m/>
    <n v="4545.2200000000012"/>
    <s v="ADM"/>
    <x v="0"/>
    <s v="ADMINIST ET FONCT"/>
    <x v="0"/>
    <n v="512000"/>
    <n v="4530.2200000000012"/>
    <x v="4"/>
    <s v="Banque"/>
    <x v="0"/>
    <n v="50"/>
    <s v="Trésorerie"/>
  </r>
  <r>
    <x v="0"/>
    <s v="BQ"/>
    <m/>
    <d v="2024-01-01T00:00:00"/>
    <s v="solde ouverture"/>
    <m/>
    <n v="-3460.8099999999977"/>
    <m/>
    <n v="1084.4100000000035"/>
    <s v="TE"/>
    <x v="0"/>
    <s v="TOILETTES ECOSAN"/>
    <x v="0"/>
    <n v="512000"/>
    <n v="-3460.8099999999977"/>
    <x v="4"/>
    <s v="Banque"/>
    <x v="0"/>
    <n v="50"/>
    <s v="Trésorerie"/>
  </r>
  <r>
    <x v="0"/>
    <s v="BQ"/>
    <m/>
    <d v="2024-01-02T00:00:00"/>
    <m/>
    <m/>
    <n v="320"/>
    <m/>
    <n v="1404.4100000000035"/>
    <s v="ADM"/>
    <x v="4"/>
    <s v="ADMINIST ET FONCT"/>
    <x v="4"/>
    <n v="777100"/>
    <n v="320"/>
    <x v="4"/>
    <s v="Dons et autres mises à dispositions gratuites"/>
    <x v="2"/>
    <n v="77"/>
    <s v="Produits exceptionnels"/>
  </r>
  <r>
    <x v="0"/>
    <s v="BQ"/>
    <n v="3327424"/>
    <d v="2024-01-05T00:00:00"/>
    <s v="CHEQUE EMIS MAIF"/>
    <m/>
    <n v="116.1"/>
    <m/>
    <n v="1520.5100000000034"/>
    <s v="ADM"/>
    <x v="5"/>
    <s v="ADMINIST ET FONCT"/>
    <x v="5"/>
    <n v="616000"/>
    <n v="116.1"/>
    <x v="4"/>
    <s v="Primes d'assurance"/>
    <x v="1"/>
    <n v="61"/>
    <s v="Services extérieurs"/>
  </r>
  <r>
    <x v="0"/>
    <s v="BQ"/>
    <n v="3327424"/>
    <d v="2024-01-05T00:00:00"/>
    <s v="MAIF"/>
    <m/>
    <m/>
    <n v="116.1"/>
    <n v="1404.4100000000035"/>
    <s v="TE"/>
    <x v="15"/>
    <s v="TOILETTES ECOSAN"/>
    <x v="15"/>
    <n v="623000"/>
    <n v="-116.1"/>
    <x v="4"/>
    <s v="Publicité, publications, Création de site web"/>
    <x v="1"/>
    <n v="62"/>
    <s v="Autres services extérieurs"/>
  </r>
  <r>
    <x v="0"/>
    <s v="BQ"/>
    <m/>
    <d v="2024-01-11T00:00:00"/>
    <s v="CHEQUE EMIS             _x000a_3327439/0000000/000000000 "/>
    <m/>
    <m/>
    <n v="123.98"/>
    <n v="1280.4300000000035"/>
    <s v="TE"/>
    <x v="15"/>
    <s v="TOILETTES ECOSAN"/>
    <x v="15"/>
    <n v="623000"/>
    <n v="-123.98"/>
    <x v="4"/>
    <s v="Publicité, publications, Création de site web"/>
    <x v="1"/>
    <n v="62"/>
    <s v="Autres services extérieurs"/>
  </r>
  <r>
    <x v="0"/>
    <s v="BQ"/>
    <m/>
    <d v="2024-01-17T00:00:00"/>
    <s v="REGUL OPE DEBITRICES    _x000a_Geste Commercial "/>
    <m/>
    <n v="24"/>
    <m/>
    <n v="1304.4300000000035"/>
    <s v="ADM"/>
    <x v="25"/>
    <s v="ADMINIST ET FONCT"/>
    <x v="25"/>
    <n v="627000"/>
    <n v="24"/>
    <x v="4"/>
    <s v="Frais bancaires"/>
    <x v="1"/>
    <n v="62"/>
    <s v="Autres services extérieurs"/>
  </r>
  <r>
    <x v="0"/>
    <s v="BQ"/>
    <m/>
    <d v="2024-01-23T00:00:00"/>
    <s v="VIREMENT EN VOTRE FAVEUR_x000a_MR OU MME JEAN-PHILIPPE LAFON po pour ICTDP _x000a_pour ICTDP                         "/>
    <m/>
    <n v="20"/>
    <m/>
    <n v="1324.4300000000035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1-24T00:00:00"/>
    <s v="CHEQUE EMIS             _x000a_3327440 "/>
    <m/>
    <m/>
    <n v="117.05"/>
    <n v="1207.3800000000035"/>
    <s v="ADM"/>
    <x v="5"/>
    <s v="ADMINIST ET FONCT"/>
    <x v="5"/>
    <n v="616000"/>
    <n v="-117.05"/>
    <x v="4"/>
    <s v="Primes d'assurance"/>
    <x v="1"/>
    <n v="61"/>
    <s v="Services extérieurs"/>
  </r>
  <r>
    <x v="0"/>
    <s v="BQ"/>
    <m/>
    <d v="2024-01-24T00:00:00"/>
    <s v="VIREMENT JEAN PHILIPPE LAFON"/>
    <m/>
    <n v="5020"/>
    <m/>
    <n v="6227.3800000000037"/>
    <s v="TE"/>
    <x v="36"/>
    <s v="TOILETTES ECOSAN"/>
    <x v="36"/>
    <n v="450000"/>
    <n v="5020"/>
    <x v="4"/>
    <s v="Compte courant"/>
    <x v="0"/>
    <n v="45"/>
    <s v="Compte courant"/>
  </r>
  <r>
    <x v="0"/>
    <s v="BQ"/>
    <m/>
    <d v="2024-01-24T00:00:00"/>
    <s v="CHEQUE EMIS             _x000a_3327440 "/>
    <m/>
    <n v="117.05"/>
    <m/>
    <n v="6344.4300000000039"/>
    <s v="ADM"/>
    <x v="5"/>
    <s v="ADMINIST ET FONCT"/>
    <x v="5"/>
    <n v="616000"/>
    <n v="117.05"/>
    <x v="4"/>
    <s v="Primes d'assurance"/>
    <x v="1"/>
    <n v="61"/>
    <s v="Services extérieurs"/>
  </r>
  <r>
    <x v="0"/>
    <s v="BQ"/>
    <m/>
    <d v="2024-01-24T00:00:00"/>
    <s v="MAIF"/>
    <m/>
    <m/>
    <n v="117.05"/>
    <n v="6227.3800000000037"/>
    <s v="TE"/>
    <x v="15"/>
    <s v="TOILETTES ECOSAN"/>
    <x v="15"/>
    <n v="623000"/>
    <n v="-117.05"/>
    <x v="4"/>
    <s v="Publicité, publications, Création de site web"/>
    <x v="1"/>
    <n v="62"/>
    <s v="Autres services extérieurs"/>
  </r>
  <r>
    <x v="0"/>
    <s v="BQ"/>
    <m/>
    <d v="2024-01-24T00:00:00"/>
    <s v="SOLDE ICTDP"/>
    <m/>
    <m/>
    <n v="13082"/>
    <n v="-6854.6199999999963"/>
    <s v="TE"/>
    <x v="18"/>
    <s v="TOILETTES ECOSAN"/>
    <x v="18"/>
    <n v="611000"/>
    <n v="-13082"/>
    <x v="4"/>
    <s v="Sous-traitance générale "/>
    <x v="1"/>
    <n v="61"/>
    <s v="Services extérieurs"/>
  </r>
  <r>
    <x v="0"/>
    <s v="BQ"/>
    <m/>
    <d v="2024-01-24T00:00:00"/>
    <s v="ICTDP"/>
    <m/>
    <n v="13082"/>
    <m/>
    <n v="6227.3800000000037"/>
    <s v="TE"/>
    <x v="45"/>
    <s v="TOILETTES ECOSAN"/>
    <x v="46"/>
    <n v="401000"/>
    <n v="13082"/>
    <x v="4"/>
    <s v="Fournisseurs"/>
    <x v="0"/>
    <n v="40"/>
    <s v="Fournisseurs"/>
  </r>
  <r>
    <x v="0"/>
    <s v="BQ"/>
    <m/>
    <d v="2024-01-24T00:00:00"/>
    <s v="COMMUNICATION"/>
    <m/>
    <m/>
    <n v="551.53"/>
    <n v="5675.850000000004"/>
    <s v="TE"/>
    <x v="15"/>
    <s v="TOILETTES ECOSAN"/>
    <x v="15"/>
    <n v="623000"/>
    <n v="-551.53"/>
    <x v="4"/>
    <s v="Publicité, publications, Création de site web"/>
    <x v="1"/>
    <n v="62"/>
    <s v="Autres services extérieurs"/>
  </r>
  <r>
    <x v="0"/>
    <s v="BQ"/>
    <m/>
    <d v="2024-01-24T00:00:00"/>
    <s v="DEPLACEMENTS"/>
    <m/>
    <m/>
    <n v="70.989999999999995"/>
    <n v="5604.8600000000042"/>
    <s v="TE"/>
    <x v="16"/>
    <s v="TOILETTES ECOSAN"/>
    <x v="16"/>
    <n v="625000"/>
    <n v="-70.989999999999995"/>
    <x v="4"/>
    <s v="Déplacements, missions et réceptions"/>
    <x v="1"/>
    <n v="62"/>
    <s v="Autres services extérieurs"/>
  </r>
  <r>
    <x v="0"/>
    <s v="BQ"/>
    <m/>
    <d v="2024-01-24T00:00:00"/>
    <s v="DEPLACEMENTS"/>
    <m/>
    <m/>
    <n v="5122.91"/>
    <n v="481.95000000000437"/>
    <s v="TE"/>
    <x v="16"/>
    <s v="TOILETTES ECOSAN"/>
    <x v="16"/>
    <n v="625000"/>
    <n v="-5122.91"/>
    <x v="4"/>
    <s v="Déplacements, missions et réceptions"/>
    <x v="1"/>
    <n v="62"/>
    <s v="Autres services extérieurs"/>
  </r>
  <r>
    <x v="0"/>
    <s v="BQ"/>
    <m/>
    <d v="2024-01-24T00:00:00"/>
    <s v="FRAIS ENVOI"/>
    <m/>
    <m/>
    <n v="119.01"/>
    <n v="362.94000000000437"/>
    <s v="TE"/>
    <x v="2"/>
    <s v="TOILETTES ECOSAN"/>
    <x v="2"/>
    <n v="626100"/>
    <n v="-119.01"/>
    <x v="4"/>
    <s v="Frais postaux"/>
    <x v="1"/>
    <n v="62"/>
    <s v="Autres services extérieurs"/>
  </r>
  <r>
    <x v="0"/>
    <s v="BQ"/>
    <m/>
    <d v="2024-01-24T00:00:00"/>
    <s v="ICTDP"/>
    <m/>
    <n v="1083.99"/>
    <m/>
    <n v="1446.9300000000044"/>
    <s v="ADM"/>
    <x v="18"/>
    <s v="ADMINIST ET FONCT"/>
    <x v="18"/>
    <n v="611000"/>
    <n v="1083.99"/>
    <x v="4"/>
    <s v="Sous-traitance générale "/>
    <x v="1"/>
    <n v="61"/>
    <s v="Services extérieurs"/>
  </r>
  <r>
    <x v="0"/>
    <s v="BQ"/>
    <m/>
    <d v="2024-01-27T00:00:00"/>
    <s v="VIREMENT MR FERILLOT MICHEL  "/>
    <m/>
    <n v="3000"/>
    <m/>
    <n v="4446.9300000000039"/>
    <s v="TE"/>
    <x v="36"/>
    <s v="TOILETTES ECOSAN"/>
    <x v="36"/>
    <n v="450000"/>
    <n v="3000"/>
    <x v="4"/>
    <s v="Compte courant"/>
    <x v="0"/>
    <n v="45"/>
    <s v="Compte courant"/>
  </r>
  <r>
    <x v="0"/>
    <s v="BQ"/>
    <m/>
    <d v="2024-01-30T00:00:00"/>
    <s v="PRELEVEMENT             _x000a_Comm de transfert "/>
    <m/>
    <m/>
    <n v="19.399999999999999"/>
    <n v="4427.5300000000043"/>
    <s v="ADM"/>
    <x v="2"/>
    <s v="ADMINIST ET FONCT"/>
    <x v="2"/>
    <n v="626100"/>
    <n v="-19.399999999999999"/>
    <x v="4"/>
    <s v="Frais postaux"/>
    <x v="1"/>
    <n v="62"/>
    <s v="Autres services extérieurs"/>
  </r>
  <r>
    <x v="0"/>
    <s v="BQ"/>
    <m/>
    <d v="2024-01-30T00:00:00"/>
    <s v="VI EMIS A L'ETRANGER    _x000a_H2402002219 INITIATIVE CITOYENNE "/>
    <m/>
    <m/>
    <n v="8000"/>
    <n v="-3572.4699999999957"/>
    <s v="TE"/>
    <x v="18"/>
    <s v="TOILETTES ECOSAN"/>
    <x v="18"/>
    <n v="611000"/>
    <n v="-8000"/>
    <x v="4"/>
    <s v="Sous-traitance générale "/>
    <x v="1"/>
    <n v="61"/>
    <s v="Services extérieurs"/>
  </r>
  <r>
    <x v="0"/>
    <s v="BQ"/>
    <m/>
    <d v="2024-01-30T00:00:00"/>
    <s v="VI EMIS A L'ETRANGER    _x000a_H2402002219 INITIATIVE CITOYENNE "/>
    <m/>
    <m/>
    <n v="300"/>
    <n v="-3872.4699999999957"/>
    <s v="ADM"/>
    <x v="18"/>
    <s v="ADMINIST ET FONCT"/>
    <x v="18"/>
    <n v="611000"/>
    <n v="-300"/>
    <x v="4"/>
    <s v="Sous-traitance générale "/>
    <x v="1"/>
    <n v="61"/>
    <s v="Services extérieurs"/>
  </r>
  <r>
    <x v="0"/>
    <s v="BQ"/>
    <m/>
    <d v="2024-01-31T00:00:00"/>
    <s v="VIREMENT EN VOTRE FAVEUR_x000a_LEMONWAY 2505797 MEMBOGO-790525 YAPLA _x000a_2505797                            "/>
    <m/>
    <n v="20"/>
    <m/>
    <n v="-3852.4699999999957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2-15T00:00:00"/>
    <s v="VIREMENT EN VOTRE FAVEUR_x000a_LEMONWAY SAS 2580886 MEMBOGO-828574 YAPLA _x000a_2580886                            "/>
    <m/>
    <n v="20"/>
    <m/>
    <n v="-3832.4699999999957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2-21T00:00:00"/>
    <s v="REMISE DE CHEQUE        _x000a_0463417 SALVIGNOL"/>
    <m/>
    <n v="100"/>
    <m/>
    <n v="-3732.4699999999957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0"/>
    <s v="BQ"/>
    <m/>
    <d v="2024-02-29T00:00:00"/>
    <s v="VIREMENT 2655259 YAPLA     30 CP+20 Aurore"/>
    <m/>
    <n v="50"/>
    <m/>
    <n v="-3682.4699999999957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0"/>
    <s v="BQ"/>
    <m/>
    <d v="2024-03-14T00:00:00"/>
    <s v="REMISE DE CHEQUE        3625689 "/>
    <m/>
    <n v="40"/>
    <m/>
    <n v="-3642.4699999999957"/>
    <s v="ADM"/>
    <x v="4"/>
    <s v="ADMINIST ET FONCT"/>
    <x v="4"/>
    <n v="777100"/>
    <n v="40"/>
    <x v="4"/>
    <s v="Dons et autres mises à dispositions gratuites"/>
    <x v="2"/>
    <n v="77"/>
    <s v="Produits exceptionnels"/>
  </r>
  <r>
    <x v="0"/>
    <s v="BQ"/>
    <m/>
    <d v="2024-03-19T00:00:00"/>
    <s v="PAIERIE REGIONALE NVLLE AQUITAIN AC"/>
    <m/>
    <n v="9000"/>
    <m/>
    <n v="5357.5300000000043"/>
    <s v="TE"/>
    <x v="24"/>
    <s v="TOILETTES ECOSAN"/>
    <x v="24"/>
    <n v="741000"/>
    <n v="9000"/>
    <x v="4"/>
    <s v="Région Nouvelle-Aquitaine"/>
    <x v="2"/>
    <n v="74"/>
    <s v="Subventions d'exploitation"/>
  </r>
  <r>
    <x v="0"/>
    <s v="BQ"/>
    <m/>
    <d v="2024-03-28T00:00:00"/>
    <s v="LAFON co conv ICTDP 2e tri "/>
    <m/>
    <n v="320"/>
    <m/>
    <n v="5677.5300000000043"/>
    <s v="ADM"/>
    <x v="4"/>
    <s v="ADMINIST ET FONCT"/>
    <x v="4"/>
    <n v="777100"/>
    <n v="320"/>
    <x v="4"/>
    <s v="Dons et autres mises à dispositions gratuites"/>
    <x v="2"/>
    <n v="77"/>
    <s v="Produits exceptionnels"/>
  </r>
  <r>
    <x v="0"/>
    <s v="BQ"/>
    <m/>
    <d v="2024-04-03T00:00:00"/>
    <s v="VIREMENT 2816830 -908648 YAPLA "/>
    <m/>
    <n v="20"/>
    <m/>
    <n v="5697.5300000000043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4-04T00:00:00"/>
    <s v="PRELEVEMENT             Comm de transfert "/>
    <m/>
    <m/>
    <n v="20.25"/>
    <n v="5677.2800000000043"/>
    <s v="ADM"/>
    <x v="2"/>
    <s v="ADMINIST ET FONCT"/>
    <x v="2"/>
    <n v="626100"/>
    <n v="-20.25"/>
    <x v="4"/>
    <s v="Frais postaux"/>
    <x v="1"/>
    <n v="62"/>
    <s v="Autres services extérieurs"/>
  </r>
  <r>
    <x v="0"/>
    <s v="BQ"/>
    <m/>
    <d v="2024-04-04T00:00:00"/>
    <s v="VH2402007679 INITIATIVE CITOYENNE "/>
    <m/>
    <m/>
    <n v="300"/>
    <n v="5377.2800000000043"/>
    <s v="ADM"/>
    <x v="18"/>
    <s v="ADMINIST ET FONCT"/>
    <x v="18"/>
    <n v="611000"/>
    <n v="-300"/>
    <x v="4"/>
    <s v="Sous-traitance générale "/>
    <x v="1"/>
    <n v="61"/>
    <s v="Services extérieurs"/>
  </r>
  <r>
    <x v="0"/>
    <s v="BQ"/>
    <m/>
    <d v="2024-04-08T00:00:00"/>
    <s v="CHEQUE EMIS             _x000a_3327441 SOCOP ADHESION"/>
    <m/>
    <m/>
    <n v="30"/>
    <n v="5347.2800000000043"/>
    <s v="ADM"/>
    <x v="15"/>
    <s v="ADMINIST ET FONCT"/>
    <x v="15"/>
    <n v="623000"/>
    <n v="-30"/>
    <x v="4"/>
    <s v="Publicité, publications, Création de site web"/>
    <x v="1"/>
    <n v="62"/>
    <s v="Autres services extérieurs"/>
  </r>
  <r>
    <x v="0"/>
    <s v="BQ"/>
    <m/>
    <d v="2024-04-10T00:00:00"/>
    <s v="PRELEVEMENT             _x000a_Comm de transfert "/>
    <m/>
    <m/>
    <n v="20.25"/>
    <n v="5327.0300000000043"/>
    <s v="TE"/>
    <x v="2"/>
    <s v="TOILETTES ECOSAN"/>
    <x v="2"/>
    <n v="626100"/>
    <n v="-20.25"/>
    <x v="4"/>
    <s v="Frais postaux"/>
    <x v="1"/>
    <n v="62"/>
    <s v="Autres services extérieurs"/>
  </r>
  <r>
    <x v="6"/>
    <s v="BQ"/>
    <m/>
    <d v="2024-01-01T00:00:00"/>
    <s v="solde ouverture"/>
    <m/>
    <n v="15"/>
    <m/>
    <n v="15"/>
    <s v="ADM"/>
    <x v="0"/>
    <s v="ADMINIST ET FONCT"/>
    <x v="0"/>
    <n v="512000"/>
    <n v="15"/>
    <x v="4"/>
    <s v="Banque"/>
    <x v="0"/>
    <n v="50"/>
    <s v="Trésorerie"/>
  </r>
  <r>
    <x v="6"/>
    <s v="BQ"/>
    <m/>
    <d v="2024-01-01T00:00:00"/>
    <s v="solde ouverture"/>
    <m/>
    <n v="4374.6440000000002"/>
    <m/>
    <n v="4389.6440000000002"/>
    <s v="ADM"/>
    <x v="0"/>
    <s v="ADMINIST ET FONCT"/>
    <x v="0"/>
    <n v="512000"/>
    <n v="4374.6440000000002"/>
    <x v="4"/>
    <s v="Banque"/>
    <x v="0"/>
    <n v="50"/>
    <s v="Trésorerie"/>
  </r>
  <r>
    <x v="6"/>
    <s v="BQ"/>
    <m/>
    <d v="2024-01-05T00:00:00"/>
    <s v="CHEQUE EMIS MAIF"/>
    <m/>
    <m/>
    <n v="116.1"/>
    <n v="4273.5439999999999"/>
    <s v="ADM"/>
    <x v="5"/>
    <s v="ADMINIST ET FONCT"/>
    <x v="5"/>
    <n v="616000"/>
    <n v="-116.1"/>
    <x v="4"/>
    <s v="Primes d'assurance"/>
    <x v="1"/>
    <n v="61"/>
    <s v="Services extérieurs"/>
  </r>
  <r>
    <x v="6"/>
    <s v="BQ"/>
    <m/>
    <d v="2024-02-09T00:00:00"/>
    <s v="REMISE DE CHEQUE  maillebiau"/>
    <m/>
    <n v="2045"/>
    <m/>
    <n v="6318.5439999999999"/>
    <s v="ADM"/>
    <x v="4"/>
    <s v="ADMINIST ET FONCT"/>
    <x v="4"/>
    <n v="777100"/>
    <n v="2045"/>
    <x v="4"/>
    <s v="Dons et autres mises à dispositions gratuites"/>
    <x v="2"/>
    <n v="77"/>
    <s v="Produits exceptionnels"/>
  </r>
  <r>
    <x v="6"/>
    <s v="BQ"/>
    <m/>
    <d v="2024-03-23T00:00:00"/>
    <s v="CHEQUE EMIS  Com-Inter  déc-mars         "/>
    <m/>
    <m/>
    <n v="255.96"/>
    <n v="6062.5839999999998"/>
    <s v="ADM"/>
    <x v="15"/>
    <s v="ADMINIST ET FONCT"/>
    <x v="15"/>
    <n v="623000"/>
    <n v="-255.96"/>
    <x v="4"/>
    <s v="Publicité, publications, Création de site web"/>
    <x v="1"/>
    <n v="62"/>
    <s v="Autres services extérieurs"/>
  </r>
  <r>
    <x v="6"/>
    <s v="BQ"/>
    <m/>
    <d v="2024-04-03T00:00:00"/>
    <s v="Cotisation béatrice FRINGUET yapla"/>
    <m/>
    <n v="350"/>
    <m/>
    <n v="6412.5839999999998"/>
    <s v="ADM"/>
    <x v="7"/>
    <s v="ADMINIST ET FONCT"/>
    <x v="7"/>
    <n v="758100"/>
    <n v="350"/>
    <x v="4"/>
    <s v="Cotisations individuelles et associatives"/>
    <x v="2"/>
    <n v="75"/>
    <s v="Autres produits de gestion courante"/>
  </r>
  <r>
    <x v="6"/>
    <s v="BQ"/>
    <m/>
    <d v="2024-04-03T00:00:00"/>
    <s v="Cotisation PONS yapla"/>
    <m/>
    <n v="50"/>
    <m/>
    <n v="6462.5839999999998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6"/>
    <s v="BQ"/>
    <m/>
    <d v="2024-04-13T00:00:00"/>
    <s v="REMISE DE CHEQUE Don MAILLEBIAU Monique     "/>
    <m/>
    <n v="50"/>
    <m/>
    <n v="6512.5839999999998"/>
    <s v="ADM"/>
    <x v="4"/>
    <s v="ADMINIST ET FONCT"/>
    <x v="4"/>
    <n v="777100"/>
    <n v="50"/>
    <x v="4"/>
    <s v="Dons et autres mises à dispositions gratuites"/>
    <x v="2"/>
    <n v="77"/>
    <s v="Produits exceptionnels"/>
  </r>
  <r>
    <x v="6"/>
    <s v="BQ"/>
    <m/>
    <d v="2024-04-19T00:00:00"/>
    <s v="VIR JPLAFON YAPLA "/>
    <m/>
    <n v="300"/>
    <m/>
    <n v="6812.5839999999998"/>
    <s v="ADM"/>
    <x v="7"/>
    <s v="ADMINIST ET FONCT"/>
    <x v="7"/>
    <n v="758100"/>
    <n v="300"/>
    <x v="4"/>
    <s v="Cotisations individuelles et associatives"/>
    <x v="2"/>
    <n v="75"/>
    <s v="Autres produits de gestion courante"/>
  </r>
  <r>
    <x v="6"/>
    <s v="BQ"/>
    <m/>
    <d v="2024-05-09T00:00:00"/>
    <s v="CHEQUE EMIS  com avril   "/>
    <m/>
    <m/>
    <n v="63.99"/>
    <n v="6748.5940000000001"/>
    <s v="ADM"/>
    <x v="15"/>
    <s v="ADMINIST ET FONCT"/>
    <x v="15"/>
    <n v="623000"/>
    <n v="-63.99"/>
    <x v="4"/>
    <s v="Publicité, publications, Création de site web"/>
    <x v="1"/>
    <n v="62"/>
    <s v="Autres services extérieurs"/>
  </r>
  <r>
    <x v="6"/>
    <s v="BQ"/>
    <m/>
    <d v="2024-05-16T00:00:00"/>
    <s v="CHEQUE EMIS    Adhésion SOCOOP 2023       "/>
    <m/>
    <m/>
    <n v="50"/>
    <n v="6698.5940000000001"/>
    <s v="ADM"/>
    <x v="1"/>
    <s v="ADMINIST ET FONCT"/>
    <x v="1"/>
    <n v="628100"/>
    <n v="-50"/>
    <x v="4"/>
    <s v="adhesion Hellasso"/>
    <x v="1"/>
    <n v="62"/>
    <s v="Autres services extérieurs"/>
  </r>
  <r>
    <x v="6"/>
    <s v="BQ"/>
    <m/>
    <d v="2024-05-16T00:00:00"/>
    <s v="INTERETS CREDITEURS "/>
    <m/>
    <n v="0.34"/>
    <m/>
    <n v="6698.9340000000002"/>
    <s v="ADM"/>
    <x v="42"/>
    <s v="ADMINIST ET FONCT"/>
    <x v="42"/>
    <n v="766000"/>
    <n v="0.34"/>
    <x v="4"/>
    <s v="Produits financiers"/>
    <x v="2"/>
    <n v="76"/>
    <s v="Produits exceptionnels"/>
  </r>
  <r>
    <x v="6"/>
    <s v="BQ"/>
    <m/>
    <d v="2024-05-31T00:00:00"/>
    <s v="CHEQUE EMIS Com Mai     "/>
    <m/>
    <m/>
    <n v="65.989999999999995"/>
    <n v="6632.9440000000004"/>
    <s v="ADM"/>
    <x v="15"/>
    <s v="ADMINIST ET FONCT"/>
    <x v="15"/>
    <n v="623000"/>
    <n v="-65.989999999999995"/>
    <x v="4"/>
    <s v="Publicité, publications, Création de site web"/>
    <x v="1"/>
    <n v="62"/>
    <s v="Autres services extérieurs"/>
  </r>
  <r>
    <x v="6"/>
    <s v="BQ"/>
    <m/>
    <d v="2024-06-05T00:00:00"/>
    <s v="CHEQUE EMIS Achat Encre et rame"/>
    <m/>
    <m/>
    <n v="73.09"/>
    <n v="6559.8540000000003"/>
    <s v="ADM"/>
    <x v="6"/>
    <s v="ADMINIST ET FONCT"/>
    <x v="6"/>
    <n v="606400"/>
    <n v="-73.09"/>
    <x v="4"/>
    <s v="Fournitures administratives"/>
    <x v="1"/>
    <n v="60"/>
    <s v="Achat"/>
  </r>
  <r>
    <x v="6"/>
    <s v="BQ"/>
    <m/>
    <d v="2024-06-13T00:00:00"/>
    <s v="Adhésion BOUYER"/>
    <m/>
    <n v="100"/>
    <m/>
    <n v="6659.8540000000003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6"/>
    <s v="BQ"/>
    <m/>
    <d v="2024-06-16T00:00:00"/>
    <s v="Adhésion Evelyne LAFON/ Yapla"/>
    <m/>
    <n v="30"/>
    <m/>
    <n v="6689.8540000000003"/>
    <s v="ADM"/>
    <x v="7"/>
    <s v="ADMINIST ET FONCT"/>
    <x v="7"/>
    <n v="758100"/>
    <n v="30"/>
    <x v="4"/>
    <s v="Cotisations individuelles et associatives"/>
    <x v="2"/>
    <n v="75"/>
    <s v="Autres produits de gestion courante"/>
  </r>
  <r>
    <x v="6"/>
    <s v="BQ"/>
    <m/>
    <d v="2024-06-16T00:00:00"/>
    <s v="Adhésion brigite BOHUON yapla"/>
    <m/>
    <n v="10"/>
    <m/>
    <n v="6699.8540000000003"/>
    <s v="ADM"/>
    <x v="7"/>
    <s v="ADMINIST ET FONCT"/>
    <x v="7"/>
    <n v="758100"/>
    <n v="10"/>
    <x v="4"/>
    <s v="Cotisations individuelles et associatives"/>
    <x v="2"/>
    <n v="75"/>
    <s v="Autres produits de gestion courante"/>
  </r>
  <r>
    <x v="6"/>
    <s v="BQ"/>
    <m/>
    <d v="2024-07-03T00:00:00"/>
    <s v="Jean Jacques COMBAREL"/>
    <m/>
    <n v="20"/>
    <m/>
    <n v="6719.8540000000003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6"/>
    <s v="BQ"/>
    <m/>
    <d v="2024-07-07T00:00:00"/>
    <s v="CHEQUE EMIS  Timbre chèq   "/>
    <m/>
    <m/>
    <n v="13.92"/>
    <n v="6705.9340000000002"/>
    <s v="ADM"/>
    <x v="2"/>
    <s v="ADMINIST ET FONCT"/>
    <x v="2"/>
    <n v="626100"/>
    <n v="-13.92"/>
    <x v="4"/>
    <s v="Frais postaux"/>
    <x v="1"/>
    <n v="62"/>
    <s v="Autres services extérieurs"/>
  </r>
  <r>
    <x v="6"/>
    <s v="BQ"/>
    <m/>
    <d v="2024-07-07T00:00:00"/>
    <s v="CHEQUE EMIS  Com juin "/>
    <m/>
    <m/>
    <n v="70.41"/>
    <n v="6635.5240000000003"/>
    <s v="ADM"/>
    <x v="15"/>
    <s v="ADMINIST ET FONCT"/>
    <x v="15"/>
    <n v="623000"/>
    <n v="-70.41"/>
    <x v="4"/>
    <s v="Publicité, publications, Création de site web"/>
    <x v="1"/>
    <n v="62"/>
    <s v="Autres services extérieurs"/>
  </r>
  <r>
    <x v="6"/>
    <s v="BQ"/>
    <m/>
    <d v="2024-07-07T00:00:00"/>
    <s v="Adhésion SAVIGNOL"/>
    <m/>
    <n v="100"/>
    <m/>
    <n v="6735.5240000000003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6"/>
    <s v="BQ"/>
    <m/>
    <d v="2024-07-07T00:00:00"/>
    <s v="DON CYGNE DE VIE, 37866220"/>
    <m/>
    <n v="1200"/>
    <m/>
    <n v="7935.5240000000003"/>
    <s v="ADM"/>
    <x v="4"/>
    <s v="ADMINIST ET FONCT"/>
    <x v="4"/>
    <n v="777100"/>
    <n v="1200"/>
    <x v="4"/>
    <s v="Dons et autres mises à dispositions gratuites"/>
    <x v="2"/>
    <n v="77"/>
    <s v="Produits exceptionnels"/>
  </r>
  <r>
    <x v="6"/>
    <s v="BQ"/>
    <m/>
    <d v="2024-07-17T00:00:00"/>
    <s v="VIR LEMONWAY MEMBOGO-507792 YAPLA "/>
    <m/>
    <n v="50"/>
    <m/>
    <n v="7985.5240000000003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6"/>
    <s v="BQ"/>
    <m/>
    <d v="2024-08-01T00:00:00"/>
    <s v="VIR LEMONWAY MEMBOGO-534776 YAPLA "/>
    <m/>
    <n v="30"/>
    <m/>
    <n v="8015.5240000000003"/>
    <s v="ADM"/>
    <x v="7"/>
    <s v="ADMINIST ET FONCT"/>
    <x v="7"/>
    <n v="758100"/>
    <n v="30"/>
    <x v="4"/>
    <s v="Cotisations individuelles et associatives"/>
    <x v="2"/>
    <n v="75"/>
    <s v="Autres produits de gestion courante"/>
  </r>
  <r>
    <x v="6"/>
    <s v="BQ"/>
    <m/>
    <d v="2024-08-30T00:00:00"/>
    <s v="MESPLE Isabelle"/>
    <m/>
    <n v="50"/>
    <m/>
    <n v="8065.5240000000003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6"/>
    <s v="BQ"/>
    <m/>
    <d v="2024-09-02T00:00:00"/>
    <s v="Adhésion Bodjok Namka et BOUTOU Eloi,"/>
    <m/>
    <n v="60"/>
    <m/>
    <n v="8125.5240000000003"/>
    <s v="ADM"/>
    <x v="7"/>
    <s v="ADMINIST ET FONCT"/>
    <x v="7"/>
    <n v="758100"/>
    <n v="60"/>
    <x v="4"/>
    <s v="Cotisations individuelles et associatives"/>
    <x v="2"/>
    <n v="75"/>
    <s v="Autres produits de gestion courante"/>
  </r>
  <r>
    <x v="6"/>
    <s v="BQ"/>
    <m/>
    <d v="2024-09-07T00:00:00"/>
    <s v="CHEQUE EMIS Com juin juillet-Août             "/>
    <m/>
    <m/>
    <n v="127.71"/>
    <n v="7997.8140000000003"/>
    <s v="ADM"/>
    <x v="15"/>
    <s v="ADMINIST ET FONCT"/>
    <x v="15"/>
    <n v="623000"/>
    <n v="-127.71"/>
    <x v="4"/>
    <s v="Publicité, publications, Création de site web"/>
    <x v="1"/>
    <n v="62"/>
    <s v="Autres services extérieurs"/>
  </r>
  <r>
    <x v="6"/>
    <s v="BQ"/>
    <m/>
    <d v="2024-09-07T00:00:00"/>
    <s v="CHEQUE EMIS Com juin juillet-Août             "/>
    <m/>
    <n v="467.2"/>
    <m/>
    <n v="8465.014000000001"/>
    <s v="ADM"/>
    <x v="15"/>
    <s v="ADMINIST ET FONCT"/>
    <x v="15"/>
    <n v="623000"/>
    <n v="467.2"/>
    <x v="4"/>
    <s v="Publicité, publications, Création de site web"/>
    <x v="1"/>
    <n v="62"/>
    <s v="Autres services extérieurs"/>
  </r>
  <r>
    <x v="6"/>
    <s v="BQ"/>
    <m/>
    <d v="2024-10-02T00:00:00"/>
    <s v="Adhésion "/>
    <m/>
    <n v="10"/>
    <m/>
    <n v="8475.014000000001"/>
    <s v="ADM"/>
    <x v="7"/>
    <s v="ADMINIST ET FONCT"/>
    <x v="7"/>
    <n v="758100"/>
    <n v="10"/>
    <x v="4"/>
    <s v="Cotisations individuelles et associatives"/>
    <x v="2"/>
    <n v="75"/>
    <s v="Autres produits de gestion courante"/>
  </r>
  <r>
    <x v="6"/>
    <s v="BQ"/>
    <m/>
    <d v="2024-10-02T00:00:00"/>
    <s v="Adhésion FLAFON"/>
    <m/>
    <n v="50"/>
    <m/>
    <n v="8525.014000000001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6"/>
    <s v="BQ"/>
    <m/>
    <d v="2024-12-01T00:00:00"/>
    <s v="VIREMENT  YAPLA AURORE            "/>
    <m/>
    <n v="20"/>
    <m/>
    <n v="8545.014000000001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6"/>
    <s v="BQ"/>
    <m/>
    <d v="2024-11-14T00:00:00"/>
    <s v="CHEQUE EMIS 3327435"/>
    <m/>
    <m/>
    <n v="123.98"/>
    <n v="8421.0340000000015"/>
    <s v="ADM"/>
    <x v="15"/>
    <s v="ADMINIST ET FONCT"/>
    <x v="15"/>
    <n v="623000"/>
    <n v="-123.98"/>
    <x v="4"/>
    <s v="Publicité, publications, Création de site web"/>
    <x v="1"/>
    <n v="62"/>
    <s v="Autres services extérieurs"/>
  </r>
  <r>
    <x v="6"/>
    <s v="BQ"/>
    <m/>
    <d v="2024-11-14T00:00:00"/>
    <s v="AFF COMM ECOSAN"/>
    <m/>
    <n v="99.184000000000012"/>
    <m/>
    <n v="8520.2180000000008"/>
    <s v="ADM"/>
    <x v="15"/>
    <s v="ADMINIST ET FONCT"/>
    <x v="15"/>
    <n v="623000"/>
    <n v="99.184000000000012"/>
    <x v="4"/>
    <s v="Publicité, publications, Création de site web"/>
    <x v="1"/>
    <n v="62"/>
    <s v="Autres services extérieurs"/>
  </r>
  <r>
    <x v="6"/>
    <s v="BQ"/>
    <m/>
    <d v="2024-11-14T00:00:00"/>
    <s v="REMISE DE CHEQUE 3625686 "/>
    <m/>
    <n v="70"/>
    <m/>
    <n v="8590.2180000000008"/>
    <s v="ADM"/>
    <x v="7"/>
    <s v="ADMINIST ET FONCT"/>
    <x v="7"/>
    <n v="758100"/>
    <n v="70"/>
    <x v="4"/>
    <s v="Cotisations individuelles et associatives"/>
    <x v="2"/>
    <n v="75"/>
    <s v="Autres produits de gestion courante"/>
  </r>
  <r>
    <x v="6"/>
    <s v="BQ"/>
    <m/>
    <d v="2024-11-07T00:00:00"/>
    <s v="VIREMENT EN VOTRE FAVEUR_x000a_Stripe Technology Europe Ltd HelloAsso Q4V0E8 "/>
    <m/>
    <n v="100"/>
    <m/>
    <n v="8690.2180000000008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6"/>
    <s v="BQ"/>
    <m/>
    <d v="2024-11-03T00:00:00"/>
    <s v="VIREMENT YAPLA  CHRISTELLE_x000a_      "/>
    <m/>
    <n v="100"/>
    <m/>
    <n v="8790.2180000000008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6"/>
    <s v="BQ"/>
    <m/>
    <d v="2024-10-17T00:00:00"/>
    <s v="                           "/>
    <m/>
    <n v="434.78"/>
    <m/>
    <n v="9224.9980000000014"/>
    <s v="ADM"/>
    <x v="4"/>
    <s v="ADMINIST ET FONCT"/>
    <x v="4"/>
    <n v="777100"/>
    <n v="434.78"/>
    <x v="4"/>
    <s v="Dons et autres mises à dispositions gratuites"/>
    <x v="2"/>
    <n v="77"/>
    <s v="Produits exceptionnels"/>
  </r>
  <r>
    <x v="6"/>
    <s v="BQ"/>
    <m/>
    <d v="2024-03-31T00:00:00"/>
    <s v="CONVENTION ICTDP"/>
    <m/>
    <m/>
    <n v="300"/>
    <n v="8924.9980000000014"/>
    <s v="ADM"/>
    <x v="8"/>
    <s v="ADMINIST ET FONCT"/>
    <x v="8"/>
    <n v="604000"/>
    <n v="-300"/>
    <x v="4"/>
    <s v="Prestations de services (Hydrogéologue Nokbak)"/>
    <x v="1"/>
    <n v="60"/>
    <s v="Achat"/>
  </r>
  <r>
    <x v="6"/>
    <s v="BQ"/>
    <m/>
    <d v="2024-06-30T00:00:00"/>
    <s v="CONVENTION ICTDP"/>
    <m/>
    <m/>
    <n v="300"/>
    <n v="8624.9980000000014"/>
    <s v="ADM"/>
    <x v="8"/>
    <s v="ADMINIST ET FONCT"/>
    <x v="8"/>
    <n v="604000"/>
    <n v="-300"/>
    <x v="4"/>
    <s v="Prestations de services (Hydrogéologue Nokbak)"/>
    <x v="1"/>
    <n v="60"/>
    <s v="Achat"/>
  </r>
  <r>
    <x v="5"/>
    <s v="BQ"/>
    <m/>
    <d v="2024-08-31T00:00:00"/>
    <s v="MISSIONS"/>
    <m/>
    <m/>
    <m/>
    <n v="8924.9980000000014"/>
    <s v="ADM"/>
    <x v="27"/>
    <s v="ADMINIST ET FONCT"/>
    <x v="27"/>
    <n v="625600"/>
    <n v="0"/>
    <x v="4"/>
    <s v="Missions et manifestations"/>
    <x v="1"/>
    <n v="62"/>
    <s v="Autres services extérieurs"/>
  </r>
  <r>
    <x v="6"/>
    <s v="BQ"/>
    <m/>
    <d v="2024-08-31T00:00:00"/>
    <s v="PART DEPLACEMENT SABINE France"/>
    <m/>
    <m/>
    <n v="1500"/>
    <n v="7124.9980000000014"/>
    <s v="ADM"/>
    <x v="27"/>
    <s v="ADMINIST ET FONCT"/>
    <x v="27"/>
    <n v="625600"/>
    <n v="-1500"/>
    <x v="4"/>
    <s v="Missions et manifestations"/>
    <x v="1"/>
    <n v="62"/>
    <s v="Autres services extérieurs"/>
  </r>
  <r>
    <x v="6"/>
    <s v="BQ"/>
    <m/>
    <d v="2024-08-31T00:00:00"/>
    <s v="DON JPL"/>
    <m/>
    <n v="1500"/>
    <m/>
    <n v="8624.9980000000014"/>
    <s v="ADM"/>
    <x v="4"/>
    <s v="ADMINIST ET FONCT"/>
    <x v="4"/>
    <n v="777100"/>
    <n v="1500"/>
    <x v="4"/>
    <s v="Dons et autres mises à dispositions gratuites"/>
    <x v="2"/>
    <n v="77"/>
    <s v="Produits exceptionnels"/>
  </r>
  <r>
    <x v="6"/>
    <s v="BQ"/>
    <m/>
    <d v="2024-08-31T00:00:00"/>
    <s v="DON FRATERNITE pour fonds propres"/>
    <m/>
    <n v="912.5"/>
    <m/>
    <n v="8037.4980000000014"/>
    <s v="ADM"/>
    <x v="46"/>
    <s v="ADMINIST ET FONCT"/>
    <x v="47"/>
    <n v="777200"/>
    <n v="912.5"/>
    <x v="4"/>
    <s v="Autres partenariats"/>
    <x v="2"/>
    <n v="77"/>
    <s v="Emplois des contributions volontaires"/>
  </r>
  <r>
    <x v="5"/>
    <s v="BQ"/>
    <m/>
    <d v="2024-08-31T00:00:00"/>
    <s v="AUTRE PARTENARIAT"/>
    <m/>
    <m/>
    <m/>
    <n v="8624.9980000000014"/>
    <s v="ADM"/>
    <x v="46"/>
    <s v="ADMINIST ET FONCT"/>
    <x v="47"/>
    <n v="777200"/>
    <n v="0"/>
    <x v="4"/>
    <s v="Autres partenariats"/>
    <x v="2"/>
    <n v="77"/>
    <s v="Emplois des contributions volontaires"/>
  </r>
  <r>
    <x v="6"/>
    <s v="BQ"/>
    <m/>
    <d v="2024-09-30T00:00:00"/>
    <s v="CONVENTION ICTDP"/>
    <m/>
    <m/>
    <n v="300"/>
    <n v="8324.9980000000014"/>
    <s v="ADM"/>
    <x v="8"/>
    <s v="ADMINIST ET FONCT"/>
    <x v="8"/>
    <n v="604000"/>
    <n v="-300"/>
    <x v="4"/>
    <s v="Prestations de services (Hydrogéologue Nokbak)"/>
    <x v="1"/>
    <n v="60"/>
    <s v="Achat"/>
  </r>
  <r>
    <x v="6"/>
    <s v="BQ"/>
    <m/>
    <d v="2024-12-31T00:00:00"/>
    <s v="CONVENTION ICTDP"/>
    <m/>
    <m/>
    <n v="300"/>
    <n v="8024.9980000000014"/>
    <s v="ADM"/>
    <x v="8"/>
    <s v="ADMINIST ET FONCT"/>
    <x v="8"/>
    <n v="604000"/>
    <n v="-300"/>
    <x v="4"/>
    <s v="Prestations de services (Hydrogéologue Nokbak)"/>
    <x v="1"/>
    <n v="60"/>
    <s v="Achat"/>
  </r>
  <r>
    <x v="6"/>
    <s v="BQ"/>
    <m/>
    <d v="2024-03-31T00:00:00"/>
    <s v="DON JPL"/>
    <m/>
    <n v="300"/>
    <m/>
    <n v="8324.9980000000014"/>
    <s v="ADM"/>
    <x v="41"/>
    <s v="ADMINIST ET FONCT"/>
    <x v="41"/>
    <n v="777000"/>
    <n v="300"/>
    <x v="4"/>
    <s v="Produits exceptionnels"/>
    <x v="2"/>
    <n v="77"/>
    <s v="Produits exceptionnels"/>
  </r>
  <r>
    <x v="6"/>
    <s v="BQ"/>
    <m/>
    <d v="2024-06-30T00:00:00"/>
    <s v="DON JPL"/>
    <m/>
    <n v="300"/>
    <m/>
    <n v="8624.9980000000014"/>
    <s v="ADM"/>
    <x v="41"/>
    <s v="ADMINIST ET FONCT"/>
    <x v="41"/>
    <n v="777000"/>
    <n v="300"/>
    <x v="4"/>
    <s v="Produits exceptionnels"/>
    <x v="2"/>
    <n v="77"/>
    <s v="Produits exceptionnels"/>
  </r>
  <r>
    <x v="6"/>
    <s v="BQ"/>
    <m/>
    <d v="2024-09-30T00:00:00"/>
    <s v="DON JPL"/>
    <m/>
    <n v="300"/>
    <m/>
    <n v="8924.9980000000014"/>
    <s v="ADM"/>
    <x v="41"/>
    <s v="ADMINIST ET FONCT"/>
    <x v="41"/>
    <n v="777000"/>
    <n v="300"/>
    <x v="4"/>
    <s v="Produits exceptionnels"/>
    <x v="2"/>
    <n v="77"/>
    <s v="Produits exceptionnels"/>
  </r>
  <r>
    <x v="6"/>
    <s v="BQ"/>
    <m/>
    <d v="2024-12-31T00:00:00"/>
    <s v="DON JPL"/>
    <m/>
    <n v="300"/>
    <m/>
    <n v="9224.9980000000014"/>
    <s v="ADM"/>
    <x v="41"/>
    <s v="ADMINIST ET FONCT"/>
    <x v="41"/>
    <n v="777000"/>
    <n v="300"/>
    <x v="4"/>
    <s v="Produits exceptionnels"/>
    <x v="2"/>
    <n v="77"/>
    <s v="Produits exceptionnels"/>
  </r>
  <r>
    <x v="6"/>
    <s v="BQ"/>
    <m/>
    <d v="2024-01-01T00:00:00"/>
    <s v="solde ouverture"/>
    <m/>
    <n v="-3305.2339999999967"/>
    <m/>
    <n v="5919.7640000000047"/>
    <s v="TE"/>
    <x v="0"/>
    <s v="TOILETTES ECOSAN"/>
    <x v="0"/>
    <n v="512000"/>
    <n v="-3305.2339999999967"/>
    <x v="4"/>
    <s v="Banque"/>
    <x v="0"/>
    <n v="50"/>
    <s v="Trésorerie"/>
  </r>
  <r>
    <x v="6"/>
    <n v="2024"/>
    <m/>
    <d v="2024-12-31T00:00:00"/>
    <s v="Subventions Région Nouvelle Aquitaine"/>
    <m/>
    <n v="15000"/>
    <m/>
    <n v="20919.764000000003"/>
    <s v="TE"/>
    <x v="24"/>
    <s v="TOILETTES ECOSAN"/>
    <x v="24"/>
    <n v="741000"/>
    <n v="15000"/>
    <x v="4"/>
    <s v="Région Nouvelle-Aquitaine"/>
    <x v="2"/>
    <n v="74"/>
    <s v="Subventions d'exploitation"/>
  </r>
  <r>
    <x v="6"/>
    <s v="BQ"/>
    <m/>
    <d v="2024-12-31T00:00:00"/>
    <s v="Subvention Agence Micro Projet"/>
    <m/>
    <n v="3333"/>
    <m/>
    <n v="24252.764000000003"/>
    <s v="TE"/>
    <x v="23"/>
    <s v="TOILETTES ECOSAN"/>
    <x v="23"/>
    <n v="742000"/>
    <n v="3333"/>
    <x v="4"/>
    <s v="AMP-GRATITUDE"/>
    <x v="2"/>
    <n v="74"/>
    <s v="Subventions d'exploitation"/>
  </r>
  <r>
    <x v="6"/>
    <s v="BQ"/>
    <m/>
    <d v="2024-12-31T00:00:00"/>
    <s v="Subvention Agence Adour Garonne"/>
    <m/>
    <n v="16344.199999999997"/>
    <m/>
    <n v="40596.964"/>
    <s v="TE"/>
    <x v="40"/>
    <s v="TOILETTES ECOSAN"/>
    <x v="40"/>
    <n v="743000"/>
    <n v="16344.199999999997"/>
    <x v="4"/>
    <s v="subvention Agence Adour Garonne"/>
    <x v="2"/>
    <n v="74"/>
    <s v="Subventions d'exploitation"/>
  </r>
  <r>
    <x v="6"/>
    <s v="BQ"/>
    <m/>
    <d v="2024-12-31T00:00:00"/>
    <s v="Fonds propres"/>
    <m/>
    <m/>
    <m/>
    <n v="40596.964"/>
    <s v="TE"/>
    <x v="41"/>
    <s v="TOILETTES ECOSAN"/>
    <x v="41"/>
    <n v="777000"/>
    <n v="0"/>
    <x v="4"/>
    <s v="Produits exceptionnels"/>
    <x v="2"/>
    <n v="77"/>
    <s v="Produits exceptionnels"/>
  </r>
  <r>
    <x v="6"/>
    <s v="BQ"/>
    <m/>
    <d v="2024-12-31T00:00:00"/>
    <s v="Sous traitance projet"/>
    <m/>
    <m/>
    <n v="28576"/>
    <n v="12020.964"/>
    <s v="TE"/>
    <x v="18"/>
    <s v="TOILETTES ECOSAN"/>
    <x v="18"/>
    <n v="611000"/>
    <n v="-28576"/>
    <x v="4"/>
    <s v="Sous-traitance générale "/>
    <x v="1"/>
    <n v="61"/>
    <s v="Services extérieurs"/>
  </r>
  <r>
    <x v="6"/>
    <s v="BQ"/>
    <m/>
    <d v="2024-12-31T00:00:00"/>
    <s v="communication"/>
    <m/>
    <m/>
    <n v="1333.626"/>
    <n v="10687.338"/>
    <s v="TE"/>
    <x v="15"/>
    <s v="TOILETTES ECOSAN"/>
    <x v="15"/>
    <n v="623000"/>
    <n v="-1333.626"/>
    <x v="4"/>
    <s v="Publicité, publications, Création de site web"/>
    <x v="1"/>
    <n v="62"/>
    <s v="Autres services extérieurs"/>
  </r>
  <r>
    <x v="6"/>
    <s v="BQ"/>
    <m/>
    <d v="2024-12-31T00:00:00"/>
    <s v="déplacements"/>
    <m/>
    <m/>
    <n v="5583.14"/>
    <n v="5104.1979999999994"/>
    <s v="TE"/>
    <x v="16"/>
    <s v="TOILETTES ECOSAN"/>
    <x v="16"/>
    <n v="625000"/>
    <n v="-5583.14"/>
    <x v="4"/>
    <s v="Déplacements, missions et réceptions"/>
    <x v="1"/>
    <n v="62"/>
    <s v="Autres services extérieurs"/>
  </r>
  <r>
    <x v="6"/>
    <s v="BQ"/>
    <m/>
    <d v="2024-12-31T00:00:00"/>
    <s v="Frais d'envoi"/>
    <m/>
    <m/>
    <n v="1379.2"/>
    <n v="3724.9979999999996"/>
    <s v="TE"/>
    <x v="2"/>
    <s v="TOILETTES ECOSAN"/>
    <x v="2"/>
    <n v="626100"/>
    <n v="-1379.2"/>
    <x v="4"/>
    <s v="Frais postaux"/>
    <x v="1"/>
    <n v="62"/>
    <s v="Autres services extérieurs"/>
  </r>
  <r>
    <x v="6"/>
    <s v="BQ"/>
    <m/>
    <d v="2024-12-31T00:00:00"/>
    <s v="Étude et Prospection hydrogéologique et  géographique 2 forages"/>
    <m/>
    <m/>
    <n v="525"/>
    <n v="-525"/>
    <s v="EP"/>
    <x v="18"/>
    <s v="EAU POTABLE"/>
    <x v="18"/>
    <n v="611000"/>
    <n v="-525"/>
    <x v="4"/>
    <s v="Sous-traitance générale "/>
    <x v="1"/>
    <n v="61"/>
    <s v="Services extérieurs"/>
  </r>
  <r>
    <x v="6"/>
    <s v="BQ"/>
    <m/>
    <d v="2024-12-31T00:00:00"/>
    <s v="Frais de rédaction de projet et suivi comptable"/>
    <m/>
    <m/>
    <n v="875"/>
    <n v="-1400"/>
    <s v="EP"/>
    <x v="18"/>
    <s v="EAU POTABLE"/>
    <x v="18"/>
    <n v="611000"/>
    <n v="-875"/>
    <x v="4"/>
    <s v="Sous-traitance générale "/>
    <x v="1"/>
    <n v="61"/>
    <s v="Services extérieurs"/>
  </r>
  <r>
    <x v="6"/>
    <s v="BQ"/>
    <m/>
    <d v="2024-12-31T00:00:00"/>
    <s v="indemnité de suivi et gestion du projet dans le pays local concerné"/>
    <m/>
    <m/>
    <n v="500"/>
    <n v="-1900"/>
    <s v="EP"/>
    <x v="18"/>
    <s v="EAU POTABLE"/>
    <x v="18"/>
    <n v="611000"/>
    <n v="-500"/>
    <x v="4"/>
    <s v="Sous-traitance générale "/>
    <x v="1"/>
    <n v="61"/>
    <s v="Services extérieurs"/>
  </r>
  <r>
    <x v="6"/>
    <s v="BQ"/>
    <m/>
    <d v="2024-12-31T00:00:00"/>
    <s v="Déplacements (billet d'avion, location de voiture dans le pays)"/>
    <m/>
    <m/>
    <n v="875"/>
    <n v="-2775"/>
    <s v="EP"/>
    <x v="16"/>
    <s v="EAU POTABLE"/>
    <x v="16"/>
    <n v="625000"/>
    <n v="-875"/>
    <x v="4"/>
    <s v="Déplacements, missions et réceptions"/>
    <x v="1"/>
    <n v="62"/>
    <s v="Autres services extérieurs"/>
  </r>
  <r>
    <x v="6"/>
    <s v="BQ"/>
    <m/>
    <d v="2024-12-31T00:00:00"/>
    <s v="Hébergement"/>
    <m/>
    <m/>
    <n v="250"/>
    <n v="-3025"/>
    <s v="EP"/>
    <x v="16"/>
    <s v="EAU POTABLE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Restauration"/>
    <m/>
    <m/>
    <n v="250"/>
    <n v="-3275"/>
    <s v="EP"/>
    <x v="16"/>
    <s v="EAU POTABLE"/>
    <x v="16"/>
    <n v="625000"/>
    <n v="-250"/>
    <x v="4"/>
    <s v="Déplacements, missions et réceptions"/>
    <x v="1"/>
    <n v="62"/>
    <s v="Autres services extérieurs"/>
  </r>
  <r>
    <x v="6"/>
    <s v="BQ"/>
    <m/>
    <d v="2024-12-31T00:00:00"/>
    <s v="Préparation, amenée, installation générale et foration"/>
    <m/>
    <m/>
    <n v="8932.25"/>
    <n v="-12207.25"/>
    <s v="EP"/>
    <x v="18"/>
    <s v="EAU POTABLE"/>
    <x v="18"/>
    <n v="611000"/>
    <n v="-8932.25"/>
    <x v="4"/>
    <s v="Sous-traitance générale "/>
    <x v="1"/>
    <n v="61"/>
    <s v="Services extérieurs"/>
  </r>
  <r>
    <x v="6"/>
    <s v="BQ"/>
    <m/>
    <d v="2024-12-31T00:00:00"/>
    <s v="Fournitures et panneaux solaires"/>
    <m/>
    <m/>
    <n v="3795.5"/>
    <n v="-16002.75"/>
    <s v="EP"/>
    <x v="18"/>
    <s v="EAU POTABLE"/>
    <x v="18"/>
    <n v="611000"/>
    <n v="-3795.5"/>
    <x v="4"/>
    <s v="Sous-traitance générale "/>
    <x v="1"/>
    <n v="61"/>
    <s v="Services extérieurs"/>
  </r>
  <r>
    <x v="6"/>
    <s v="BQ"/>
    <m/>
    <d v="2024-12-31T00:00:00"/>
    <s v="Plomberie, construction de bornes fontaines de 2*6 robinets"/>
    <m/>
    <m/>
    <n v="1628.5"/>
    <n v="-17631.25"/>
    <s v="EP"/>
    <x v="18"/>
    <s v="EAU POTABLE"/>
    <x v="18"/>
    <n v="611000"/>
    <n v="-1628.5"/>
    <x v="4"/>
    <s v="Sous-traitance générale "/>
    <x v="1"/>
    <n v="61"/>
    <s v="Services extérieurs"/>
  </r>
  <r>
    <x v="6"/>
    <s v="BQ"/>
    <m/>
    <d v="2024-12-31T00:00:00"/>
    <s v="Déplacement et essais pompages"/>
    <m/>
    <m/>
    <n v="306"/>
    <n v="-17937.25"/>
    <s v="EP"/>
    <x v="18"/>
    <s v="EAU POTABLE"/>
    <x v="18"/>
    <n v="611000"/>
    <n v="-306"/>
    <x v="4"/>
    <s v="Sous-traitance générale "/>
    <x v="1"/>
    <n v="61"/>
    <s v="Services extérieurs"/>
  </r>
  <r>
    <x v="6"/>
    <s v="BQ"/>
    <m/>
    <d v="2024-12-31T00:00:00"/>
    <s v="Analyse physico-chimique de l’eau"/>
    <m/>
    <m/>
    <n v="300"/>
    <n v="-18237.25"/>
    <s v="EP"/>
    <x v="18"/>
    <s v="EAU POTABLE"/>
    <x v="18"/>
    <n v="611000"/>
    <n v="-300"/>
    <x v="4"/>
    <s v="Sous-traitance générale "/>
    <x v="1"/>
    <n v="61"/>
    <s v="Services extérieurs"/>
  </r>
  <r>
    <x v="6"/>
    <s v="BQ"/>
    <m/>
    <d v="2024-12-31T00:00:00"/>
    <s v="Suivi contrôle par un technicien hydrogéologue"/>
    <m/>
    <m/>
    <n v="400"/>
    <n v="-18637.25"/>
    <s v="EP"/>
    <x v="18"/>
    <s v="EAU POTABLE"/>
    <x v="18"/>
    <n v="611000"/>
    <n v="-400"/>
    <x v="4"/>
    <s v="Sous-traitance générale "/>
    <x v="1"/>
    <n v="61"/>
    <s v="Services extérieurs"/>
  </r>
  <r>
    <x v="6"/>
    <s v="BQ"/>
    <m/>
    <d v="2024-12-31T00:00:00"/>
    <s v="Main d'œuvre pour l'ensemble"/>
    <m/>
    <m/>
    <n v="2750"/>
    <n v="-21387.25"/>
    <s v="EP"/>
    <x v="18"/>
    <s v="EAU POTABLE"/>
    <x v="18"/>
    <n v="611000"/>
    <n v="-2750"/>
    <x v="4"/>
    <s v="Sous-traitance générale "/>
    <x v="1"/>
    <n v="61"/>
    <s v="Services extérieurs"/>
  </r>
  <r>
    <x v="6"/>
    <s v="BQ"/>
    <m/>
    <d v="2024-12-31T00:00:00"/>
    <s v="Construction de 23 toilettes écologiques  Ecosan"/>
    <m/>
    <m/>
    <n v="8275"/>
    <n v="-29662.25"/>
    <s v="EP"/>
    <x v="18"/>
    <s v="EAU POTABLE"/>
    <x v="18"/>
    <n v="611000"/>
    <n v="-8275"/>
    <x v="4"/>
    <s v="Sous-traitance générale "/>
    <x v="1"/>
    <n v="61"/>
    <s v="Services extérieurs"/>
  </r>
  <r>
    <x v="6"/>
    <s v="BQ"/>
    <m/>
    <d v="2024-12-31T00:00:00"/>
    <s v="Formation des outils de travail et de gestion COGES-EA"/>
    <m/>
    <m/>
    <n v="775"/>
    <n v="-30437.25"/>
    <s v="EP"/>
    <x v="32"/>
    <s v="EAU POTABLE"/>
    <x v="32"/>
    <n v="622800"/>
    <n v="-775"/>
    <x v="4"/>
    <s v="Frais de formation"/>
    <x v="1"/>
    <n v="62"/>
    <s v="Autres services extérieurs"/>
  </r>
  <r>
    <x v="6"/>
    <s v="BQ"/>
    <m/>
    <d v="2024-12-31T00:00:00"/>
    <s v="Sensibilisation des parents d'élèves sur l'importance de l'education de la jeune fille / l'eau et assainissement"/>
    <m/>
    <m/>
    <n v="500"/>
    <n v="-30937.25"/>
    <s v="EP"/>
    <x v="32"/>
    <s v="EAU POTABLE"/>
    <x v="32"/>
    <n v="622800"/>
    <n v="-500"/>
    <x v="4"/>
    <s v="Frais de formation"/>
    <x v="1"/>
    <n v="62"/>
    <s v="Autres services extérieurs"/>
  </r>
  <r>
    <x v="6"/>
    <s v="BQ"/>
    <m/>
    <d v="2024-12-31T00:00:00"/>
    <s v="Sensibilisation sur l'hygiène et  assainissement de la population  (méthode PHAST)"/>
    <m/>
    <m/>
    <n v="1000"/>
    <n v="-31937.25"/>
    <s v="EP"/>
    <x v="32"/>
    <s v="EAU POTABLE"/>
    <x v="32"/>
    <n v="622800"/>
    <n v="-1000"/>
    <x v="4"/>
    <s v="Frais de formation"/>
    <x v="1"/>
    <n v="62"/>
    <s v="Autres services extérieurs"/>
  </r>
  <r>
    <x v="6"/>
    <s v="BQ"/>
    <m/>
    <d v="2024-12-31T00:00:00"/>
    <s v="Formation des agriculteurs sur la méthode de vidange et achat de matériel de vidange pour 10 agriculteurs"/>
    <m/>
    <m/>
    <n v="875"/>
    <n v="-32812.25"/>
    <s v="EP"/>
    <x v="32"/>
    <s v="EAU POTABLE"/>
    <x v="32"/>
    <n v="622800"/>
    <n v="-875"/>
    <x v="4"/>
    <s v="Frais de formation"/>
    <x v="1"/>
    <n v="62"/>
    <s v="Autres services extérieurs"/>
  </r>
  <r>
    <x v="6"/>
    <s v="BQ"/>
    <m/>
    <d v="2024-12-31T00:00:00"/>
    <s v="Suivi des maladies liées à l'eau et assainissement dans les dispensaires les plus proches"/>
    <m/>
    <m/>
    <n v="300"/>
    <n v="-33112.25"/>
    <s v="EP"/>
    <x v="18"/>
    <s v="EAU POTABLE"/>
    <x v="18"/>
    <n v="611000"/>
    <n v="-300"/>
    <x v="4"/>
    <s v="Sous-traitance générale "/>
    <x v="1"/>
    <n v="61"/>
    <s v="Services extérieurs"/>
  </r>
  <r>
    <x v="6"/>
    <s v="BQ"/>
    <m/>
    <d v="2024-12-31T00:00:00"/>
    <s v="Frais de reboisement des 2 sites"/>
    <m/>
    <m/>
    <n v="75"/>
    <n v="-33187.25"/>
    <s v="EP"/>
    <x v="18"/>
    <s v="EAU POTABLE"/>
    <x v="18"/>
    <n v="611000"/>
    <n v="-75"/>
    <x v="4"/>
    <s v="Sous-traitance générale "/>
    <x v="1"/>
    <n v="61"/>
    <s v="Services extérieurs"/>
  </r>
  <r>
    <x v="6"/>
    <s v="BQ"/>
    <m/>
    <d v="2024-12-31T00:00:00"/>
    <s v="Communication "/>
    <m/>
    <m/>
    <n v="1325"/>
    <n v="-34512.25"/>
    <s v="EP"/>
    <x v="15"/>
    <s v="EAU POTABLE"/>
    <x v="15"/>
    <n v="623000"/>
    <n v="-1325"/>
    <x v="4"/>
    <s v="Publicité, publications, Création de site web"/>
    <x v="1"/>
    <n v="62"/>
    <s v="Autres services extérieurs"/>
  </r>
  <r>
    <x v="6"/>
    <s v="BQ"/>
    <m/>
    <d v="2024-12-31T00:00:00"/>
    <s v="Capitalisation"/>
    <m/>
    <m/>
    <n v="500"/>
    <n v="-35012.25"/>
    <s v="EP"/>
    <x v="18"/>
    <s v="EAU POTABLE"/>
    <x v="18"/>
    <n v="611000"/>
    <n v="-500"/>
    <x v="4"/>
    <s v="Sous-traitance générale "/>
    <x v="1"/>
    <n v="61"/>
    <s v="Services extérieurs"/>
  </r>
  <r>
    <x v="6"/>
    <s v="BQ"/>
    <m/>
    <d v="2024-12-31T00:00:00"/>
    <s v="Evaluation externe du projet sur le terrain"/>
    <m/>
    <m/>
    <n v="450"/>
    <n v="-35462.25"/>
    <s v="EP"/>
    <x v="18"/>
    <s v="EAU POTABLE"/>
    <x v="18"/>
    <n v="611000"/>
    <n v="-450"/>
    <x v="4"/>
    <s v="Sous-traitance générale "/>
    <x v="1"/>
    <n v="61"/>
    <s v="Services extérieurs"/>
  </r>
  <r>
    <x v="6"/>
    <s v="BQ"/>
    <m/>
    <d v="2024-12-31T00:00:00"/>
    <s v="Consommables bureautique"/>
    <m/>
    <m/>
    <n v="486.75"/>
    <n v="-35949"/>
    <s v="EP"/>
    <x v="18"/>
    <s v="EAU POTABLE"/>
    <x v="18"/>
    <n v="611000"/>
    <n v="-486.75"/>
    <x v="4"/>
    <s v="Sous-traitance générale "/>
    <x v="1"/>
    <n v="61"/>
    <s v="Services extérieurs"/>
  </r>
  <r>
    <x v="6"/>
    <s v="BQ"/>
    <m/>
    <d v="2024-12-31T00:00:00"/>
    <s v="Ceremonie de réception des 2 forages"/>
    <m/>
    <m/>
    <n v="325"/>
    <n v="-36274"/>
    <s v="EP"/>
    <x v="18"/>
    <s v="EAU POTABLE"/>
    <x v="18"/>
    <n v="611000"/>
    <n v="-325"/>
    <x v="4"/>
    <s v="Sous-traitance générale "/>
    <x v="1"/>
    <n v="61"/>
    <s v="Services extérieurs"/>
  </r>
  <r>
    <x v="6"/>
    <s v="BQ"/>
    <m/>
    <d v="2024-12-31T00:00:00"/>
    <s v="Fabrication des plaques d'identification des forages (logos partenaires)"/>
    <m/>
    <m/>
    <n v="200"/>
    <n v="-36474"/>
    <s v="EP"/>
    <x v="18"/>
    <s v="EAU POTABLE"/>
    <x v="18"/>
    <n v="611000"/>
    <n v="-200"/>
    <x v="4"/>
    <s v="Sous-traitance générale "/>
    <x v="1"/>
    <n v="61"/>
    <s v="Services extérieurs"/>
  </r>
  <r>
    <x v="6"/>
    <s v="BQ"/>
    <m/>
    <d v="2024-12-31T00:00:00"/>
    <s v="Bénévolat des membres des associations"/>
    <m/>
    <m/>
    <m/>
    <n v="-36474"/>
    <s v="EP"/>
    <x v="11"/>
    <s v="EAU POTABLE"/>
    <x v="11"/>
    <n v="862000"/>
    <n v="0"/>
    <x v="4"/>
    <s v="Prestations"/>
    <x v="1"/>
    <n v="86"/>
    <s v="Emplois des contributions volontaires"/>
  </r>
  <r>
    <x v="6"/>
    <s v="BQ"/>
    <m/>
    <d v="2024-12-31T00:00:00"/>
    <s v="Fonds propres ou assimilés"/>
    <m/>
    <m/>
    <m/>
    <n v="-36474"/>
    <s v="EP"/>
    <x v="41"/>
    <s v="EAU POTABLE"/>
    <x v="41"/>
    <n v="777000"/>
    <n v="0"/>
    <x v="4"/>
    <s v="Produits exceptionnels"/>
    <x v="2"/>
    <n v="77"/>
    <s v="Produits exceptionnels"/>
  </r>
  <r>
    <x v="6"/>
    <s v="BQ"/>
    <m/>
    <d v="2024-12-31T00:00:00"/>
    <s v="Bordeaux metropole"/>
    <m/>
    <n v="12500"/>
    <m/>
    <n v="-23974"/>
    <s v="EP"/>
    <x v="43"/>
    <s v="EAU POTABLE"/>
    <x v="44"/>
    <n v="744000"/>
    <n v="12500"/>
    <x v="4"/>
    <s v="Subvention Bx Métropole"/>
    <x v="2"/>
    <n v="74"/>
    <s v="Subventions d'exploitation"/>
  </r>
  <r>
    <x v="6"/>
    <s v="BQ"/>
    <m/>
    <d v="2024-12-31T00:00:00"/>
    <s v="Agence de l'Eau Adour Garonne"/>
    <m/>
    <n v="18250"/>
    <m/>
    <n v="-5724"/>
    <s v="EP"/>
    <x v="40"/>
    <s v="EAU POTABLE"/>
    <x v="40"/>
    <n v="743000"/>
    <n v="18250"/>
    <x v="4"/>
    <s v="subvention Agence Adour Garonne"/>
    <x v="2"/>
    <n v="74"/>
    <s v="Subventions d'exploitation"/>
  </r>
  <r>
    <x v="6"/>
    <s v="BQ"/>
    <m/>
    <d v="2024-12-31T00:00:00"/>
    <s v="Aglo de Brive / Valorem"/>
    <m/>
    <n v="2074"/>
    <m/>
    <n v="-3650"/>
    <s v="EP"/>
    <x v="44"/>
    <s v="EAU POTABLE"/>
    <x v="45"/>
    <n v="745000"/>
    <n v="2074"/>
    <x v="4"/>
    <s v="Subv Aglo de Brive / Valorem"/>
    <x v="2"/>
    <n v="74"/>
    <s v="Subventions d'exploitation"/>
  </r>
  <r>
    <x v="6"/>
    <s v="BQ"/>
    <m/>
    <d v="2024-12-31T00:00:00"/>
    <s v="Valorisation aide locale"/>
    <m/>
    <n v="1825"/>
    <m/>
    <n v="-1825"/>
    <s v="EP"/>
    <x v="10"/>
    <s v="EAU POTABLE"/>
    <x v="10"/>
    <n v="871000"/>
    <n v="1825"/>
    <x v="4"/>
    <s v="Prestations en nature"/>
    <x v="2"/>
    <n v="87"/>
    <s v="Contributions volontaires"/>
  </r>
  <r>
    <x v="0"/>
    <s v="BQ"/>
    <m/>
    <d v="2024-04-10T00:00:00"/>
    <s v="VI EMIS A L'ETRANGER    _x000a_H2402008174 ICTDP "/>
    <m/>
    <m/>
    <n v="9000"/>
    <n v="-3672.9699999999957"/>
    <s v="TE"/>
    <x v="18"/>
    <s v="TOILETTES ECOSAN"/>
    <x v="18"/>
    <n v="611000"/>
    <n v="-9000"/>
    <x v="4"/>
    <s v="Sous-traitance générale "/>
    <x v="1"/>
    <n v="61"/>
    <s v="Services extérieurs"/>
  </r>
  <r>
    <x v="0"/>
    <s v="BQ"/>
    <m/>
    <d v="2024-04-16T00:00:00"/>
    <s v="CHEQUE EMIS             _x000a_3327442 "/>
    <m/>
    <m/>
    <n v="123.98"/>
    <n v="-3796.9499999999957"/>
    <s v="TE"/>
    <x v="15"/>
    <s v="TOILETTES ECOSAN"/>
    <x v="15"/>
    <n v="623000"/>
    <n v="-123.98"/>
    <x v="4"/>
    <s v="Publicité, publications, Création de site web"/>
    <x v="1"/>
    <n v="62"/>
    <s v="Autres services extérieurs"/>
  </r>
  <r>
    <x v="0"/>
    <s v="BQ"/>
    <m/>
    <d v="2024-04-16T00:00:00"/>
    <s v="CHEQUE EMIS             _x000a_3327443 "/>
    <m/>
    <m/>
    <n v="15.48"/>
    <n v="-3812.4299999999957"/>
    <s v="TE"/>
    <x v="15"/>
    <s v="TOILETTES ECOSAN"/>
    <x v="15"/>
    <n v="623000"/>
    <n v="-15.48"/>
    <x v="4"/>
    <s v="Publicité, publications, Création de site web"/>
    <x v="1"/>
    <n v="62"/>
    <s v="Autres services extérieurs"/>
  </r>
  <r>
    <x v="0"/>
    <s v="BQ"/>
    <m/>
    <d v="2024-04-21T00:00:00"/>
    <s v="Autofinancement Ecosan"/>
    <m/>
    <n v="5500"/>
    <m/>
    <n v="1687.5700000000043"/>
    <s v="TE"/>
    <x v="47"/>
    <s v="TOILETTES ECOSAN"/>
    <x v="48"/>
    <n v="758800"/>
    <n v="5500"/>
    <x v="4"/>
    <s v="Fonds propres"/>
    <x v="2"/>
    <n v="75"/>
    <s v="Produits financiers"/>
  </r>
  <r>
    <x v="0"/>
    <s v="BQ"/>
    <m/>
    <d v="2024-04-21T00:00:00"/>
    <s v="Autofinancement Ecosan"/>
    <m/>
    <m/>
    <n v="5500"/>
    <n v="-3812.4299999999957"/>
    <s v="ADM"/>
    <x v="47"/>
    <s v="ADMINIST ET FONCT"/>
    <x v="48"/>
    <n v="758800"/>
    <n v="-5500"/>
    <x v="4"/>
    <s v="Fonds propres"/>
    <x v="2"/>
    <n v="75"/>
    <s v="Produits financiers"/>
  </r>
  <r>
    <x v="0"/>
    <s v="BQ"/>
    <m/>
    <d v="2024-04-23T00:00:00"/>
    <s v="CHEQUE EMIS             3327444 "/>
    <m/>
    <m/>
    <n v="164"/>
    <n v="-3976.4299999999957"/>
    <s v="TE"/>
    <x v="16"/>
    <s v="TOILETTES ECOSAN"/>
    <x v="16"/>
    <n v="625000"/>
    <n v="-164"/>
    <x v="4"/>
    <s v="Déplacements, missions et réceptions"/>
    <x v="1"/>
    <n v="62"/>
    <s v="Autres services extérieurs"/>
  </r>
  <r>
    <x v="0"/>
    <s v="BQ"/>
    <m/>
    <d v="2024-04-23T00:00:00"/>
    <s v="REMISE DE CHEQUE        _x000a_3625690 "/>
    <m/>
    <n v="90"/>
    <m/>
    <n v="-3886.4299999999957"/>
    <s v="ADM"/>
    <x v="7"/>
    <s v="ADMINIST ET FONCT"/>
    <x v="7"/>
    <n v="758100"/>
    <n v="90"/>
    <x v="4"/>
    <s v="Cotisations individuelles et associatives"/>
    <x v="2"/>
    <n v="75"/>
    <s v="Autres produits de gestion courante"/>
  </r>
  <r>
    <x v="0"/>
    <s v="BQ"/>
    <m/>
    <d v="2024-04-26T00:00:00"/>
    <s v="REMISE DE CHEQUE        _x000a_3625691 "/>
    <m/>
    <n v="20"/>
    <m/>
    <n v="-3866.4299999999957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5-02T00:00:00"/>
    <s v="CHEQUE EMIS             3327445 "/>
    <m/>
    <m/>
    <n v="61.99"/>
    <n v="-3928.4199999999955"/>
    <s v="TE"/>
    <x v="15"/>
    <s v="TOILETTES ECOSAN"/>
    <x v="15"/>
    <n v="623000"/>
    <n v="-61.99"/>
    <x v="4"/>
    <s v="Publicité, publications, Création de site web"/>
    <x v="1"/>
    <n v="62"/>
    <s v="Autres services extérieurs"/>
  </r>
  <r>
    <x v="0"/>
    <s v="BQ"/>
    <m/>
    <d v="2024-05-02T00:00:00"/>
    <s v="VIREMENT EN VOTRE FAVEUR_x000a_LEMONWAY 2971636 YAPLAFR-950595 YAPLA _x000a_2971636                            "/>
    <m/>
    <n v="20"/>
    <m/>
    <n v="-3908.4199999999955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5-03T00:00:00"/>
    <s v="CHEQUE EMIS             3327446 "/>
    <m/>
    <m/>
    <n v="27.47"/>
    <n v="-3935.8899999999953"/>
    <s v="TE"/>
    <x v="16"/>
    <s v="TOILETTES ECOSAN"/>
    <x v="16"/>
    <n v="625000"/>
    <n v="-27.47"/>
    <x v="4"/>
    <s v="Déplacements, missions et réceptions"/>
    <x v="1"/>
    <n v="62"/>
    <s v="Autres services extérieurs"/>
  </r>
  <r>
    <x v="0"/>
    <s v="BQ"/>
    <m/>
    <d v="2024-05-16T00:00:00"/>
    <s v="INTERETS  PARTS SOC.CARBON BL. "/>
    <m/>
    <n v="0.47"/>
    <m/>
    <n v="-3935.4199999999955"/>
    <s v="ADM"/>
    <x v="42"/>
    <s v="ADMINIST ET FONCT"/>
    <x v="42"/>
    <n v="766000"/>
    <n v="0.47"/>
    <x v="4"/>
    <s v="Produits financiers"/>
    <x v="2"/>
    <n v="76"/>
    <s v="Produits exceptionnels"/>
  </r>
  <r>
    <x v="0"/>
    <s v="BQ"/>
    <m/>
    <d v="2024-05-16T00:00:00"/>
    <s v="REMISE DE CHEQUE 3082619 Muriel"/>
    <m/>
    <n v="100"/>
    <m/>
    <n v="-3835.4199999999955"/>
    <s v="ADM"/>
    <x v="7"/>
    <s v="ADMINIST ET FONCT"/>
    <x v="7"/>
    <n v="758100"/>
    <n v="100"/>
    <x v="4"/>
    <s v="Cotisations individuelles et associatives"/>
    <x v="2"/>
    <n v="75"/>
    <s v="Autres produits de gestion courante"/>
  </r>
  <r>
    <x v="0"/>
    <s v="BQ"/>
    <m/>
    <d v="2024-05-16T00:00:00"/>
    <s v="LEMONWAY SAS 3042906 YAPLAFR-"/>
    <m/>
    <n v="70"/>
    <m/>
    <n v="-3765.4199999999955"/>
    <s v="ADM"/>
    <x v="7"/>
    <s v="ADMINIST ET FONCT"/>
    <x v="7"/>
    <n v="758100"/>
    <n v="70"/>
    <x v="4"/>
    <s v="Cotisations individuelles et associatives"/>
    <x v="2"/>
    <n v="75"/>
    <s v="Autres produits de gestion courante"/>
  </r>
  <r>
    <x v="0"/>
    <s v="BQ"/>
    <m/>
    <d v="2024-05-22T00:00:00"/>
    <s v="REMISE DE CHEQUE 3082754 evelyne"/>
    <m/>
    <n v="30"/>
    <m/>
    <n v="-3735.4199999999955"/>
    <s v="ADM"/>
    <x v="7"/>
    <s v="ADMINIST ET FONCT"/>
    <x v="7"/>
    <n v="758100"/>
    <n v="30"/>
    <x v="4"/>
    <s v="Cotisations individuelles et associatives"/>
    <x v="2"/>
    <n v="75"/>
    <s v="Autres produits de gestion courante"/>
  </r>
  <r>
    <x v="0"/>
    <s v="BQ"/>
    <m/>
    <d v="2024-05-31T00:00:00"/>
    <s v="LEMONWAY SAS 3132715 YAPLAFR"/>
    <m/>
    <n v="20"/>
    <m/>
    <n v="-3715.4199999999955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6-24T00:00:00"/>
    <s v="JPL"/>
    <m/>
    <n v="1827.72"/>
    <m/>
    <n v="-1887.6999999999955"/>
    <s v="TE"/>
    <x v="36"/>
    <s v="TOILETTES ECOSAN"/>
    <x v="36"/>
    <n v="450000"/>
    <n v="1827.72"/>
    <x v="4"/>
    <s v="Compte courant"/>
    <x v="0"/>
    <n v="45"/>
    <s v="Compte courant"/>
  </r>
  <r>
    <x v="0"/>
    <s v="BQ"/>
    <m/>
    <d v="2024-06-24T00:00:00"/>
    <s v="MF"/>
    <m/>
    <n v="169.39"/>
    <m/>
    <n v="-1718.3099999999954"/>
    <s v="TE"/>
    <x v="36"/>
    <s v="TOILETTES ECOSAN"/>
    <x v="36"/>
    <n v="450000"/>
    <n v="169.39"/>
    <x v="4"/>
    <s v="Compte courant"/>
    <x v="0"/>
    <n v="45"/>
    <s v="Compte courant"/>
  </r>
  <r>
    <x v="0"/>
    <s v="BQ"/>
    <m/>
    <d v="2024-06-24T00:00:00"/>
    <s v="NAM"/>
    <m/>
    <n v="2783.3399999999997"/>
    <m/>
    <n v="1065.0300000000043"/>
    <s v="TE"/>
    <x v="36"/>
    <s v="TOILETTES ECOSAN"/>
    <x v="36"/>
    <n v="450000"/>
    <n v="2783.3399999999997"/>
    <x v="4"/>
    <s v="Compte courant"/>
    <x v="0"/>
    <n v="45"/>
    <s v="Compte courant"/>
  </r>
  <r>
    <x v="0"/>
    <s v="BQ"/>
    <m/>
    <d v="2024-06-25T00:00:00"/>
    <s v="PRELEVEMENT             _x000a_Comm de transfert "/>
    <m/>
    <m/>
    <n v="20.25"/>
    <n v="1044.7800000000043"/>
    <s v="ADM"/>
    <x v="2"/>
    <s v="ADMINIST ET FONCT"/>
    <x v="2"/>
    <n v="626100"/>
    <n v="-20.25"/>
    <x v="4"/>
    <s v="Frais postaux"/>
    <x v="1"/>
    <n v="62"/>
    <s v="Autres services extérieurs"/>
  </r>
  <r>
    <x v="0"/>
    <s v="BQ"/>
    <m/>
    <d v="2024-06-25T00:00:00"/>
    <s v="VI EMIS A L'ETRANGER    _x000a_H2402013964 INITIATIVE CITOYENNE "/>
    <m/>
    <m/>
    <n v="300"/>
    <n v="744.78000000000429"/>
    <s v="ADM"/>
    <x v="18"/>
    <s v="ADMINIST ET FONCT"/>
    <x v="18"/>
    <n v="611000"/>
    <n v="-300"/>
    <x v="4"/>
    <s v="Sous-traitance générale "/>
    <x v="1"/>
    <n v="61"/>
    <s v="Services extérieurs"/>
  </r>
  <r>
    <x v="0"/>
    <s v="BQ"/>
    <m/>
    <d v="2024-06-25T00:00:00"/>
    <s v="REMISE DE CHEQUE        _x000a_3625692 "/>
    <m/>
    <n v="1000"/>
    <m/>
    <n v="1744.7800000000043"/>
    <s v="ADM"/>
    <x v="4"/>
    <s v="ADMINIST ET FONCT"/>
    <x v="4"/>
    <n v="777100"/>
    <n v="1000"/>
    <x v="4"/>
    <s v="Dons et autres mises à dispositions gratuites"/>
    <x v="2"/>
    <n v="77"/>
    <s v="Produits exceptionnels"/>
  </r>
  <r>
    <x v="0"/>
    <s v="BQ"/>
    <m/>
    <d v="2024-06-25T00:00:00"/>
    <s v="VIREMENT EN VOTRE FAVEUR_x000a_MR OU MME JEAN-PHILIPPE LAFON do don _x000a_don                                "/>
    <m/>
    <n v="315"/>
    <m/>
    <n v="2059.7800000000043"/>
    <s v="ADM"/>
    <x v="4"/>
    <s v="ADMINIST ET FONCT"/>
    <x v="4"/>
    <n v="777100"/>
    <n v="315"/>
    <x v="4"/>
    <s v="Dons et autres mises à dispositions gratuites"/>
    <x v="2"/>
    <n v="77"/>
    <s v="Produits exceptionnels"/>
  </r>
  <r>
    <x v="0"/>
    <s v="BQ"/>
    <m/>
    <d v="2024-07-02T00:00:00"/>
    <s v="VIREMENT _x000a_LEMONWAY 3299800 YAPLAFR-1045073 YAPLA _x000a_3299800                            "/>
    <m/>
    <n v="20"/>
    <m/>
    <n v="2079.7800000000043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7-31T00:00:00"/>
    <s v="VIREMENT EN VOTRE FAVEUR_x000a_LEMONWAY 3467183 YAPLAFR-1100234 YAPLA _x000a_3467183                            "/>
    <m/>
    <n v="20"/>
    <m/>
    <n v="2099.7800000000043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09-10T00:00:00"/>
    <s v="VIREMENT JP LAFON vente bracelets et eventails"/>
    <m/>
    <n v="65"/>
    <m/>
    <n v="2164.7800000000043"/>
    <s v="ADM"/>
    <x v="41"/>
    <s v="ADMINIST ET FONCT"/>
    <x v="41"/>
    <n v="777000"/>
    <n v="65"/>
    <x v="4"/>
    <s v="Produits exceptionnels"/>
    <x v="2"/>
    <n v="77"/>
    <s v="Produits exceptionnels"/>
  </r>
  <r>
    <x v="0"/>
    <s v="BQ"/>
    <m/>
    <d v="2024-09-12T00:00:00"/>
    <s v="PRELEVEMENT Comm de transfert "/>
    <m/>
    <m/>
    <n v="20.25"/>
    <n v="2144.5300000000043"/>
    <s v="ADM"/>
    <x v="25"/>
    <s v="ADMINIST ET FONCT"/>
    <x v="25"/>
    <n v="627000"/>
    <n v="-20.25"/>
    <x v="4"/>
    <s v="Frais bancaires"/>
    <x v="1"/>
    <n v="62"/>
    <s v="Autres services extérieurs"/>
  </r>
  <r>
    <x v="0"/>
    <s v="BQ"/>
    <m/>
    <d v="2024-09-12T00:00:00"/>
    <s v="VI EMIS A L'ETRANGER INITIATIVE CITOYENNE "/>
    <m/>
    <m/>
    <n v="300"/>
    <n v="1844.5300000000043"/>
    <s v="ADM"/>
    <x v="18"/>
    <s v="ADMINIST ET FONCT"/>
    <x v="18"/>
    <n v="611000"/>
    <n v="-300"/>
    <x v="4"/>
    <s v="Sous-traitance générale "/>
    <x v="1"/>
    <n v="61"/>
    <s v="Services extérieurs"/>
  </r>
  <r>
    <x v="0"/>
    <s v="BQ"/>
    <m/>
    <d v="2024-09-12T00:00:00"/>
    <s v="VIREMENTJP LAFON Convention ICTDP                   "/>
    <m/>
    <n v="315"/>
    <m/>
    <n v="2159.5300000000043"/>
    <s v="ADM"/>
    <x v="4"/>
    <s v="ADMINIST ET FONCT"/>
    <x v="4"/>
    <n v="777100"/>
    <n v="315"/>
    <x v="4"/>
    <s v="Dons et autres mises à dispositions gratuites"/>
    <x v="2"/>
    <n v="77"/>
    <s v="Produits exceptionnels"/>
  </r>
  <r>
    <x v="0"/>
    <s v="BQ"/>
    <m/>
    <d v="2024-09-27T00:00:00"/>
    <s v="REMISE DE CHEQUE  7988131 "/>
    <m/>
    <n v="200"/>
    <m/>
    <n v="2359.5300000000043"/>
    <s v="ADM"/>
    <x v="7"/>
    <s v="ADMINIST ET FONCT"/>
    <x v="7"/>
    <n v="758100"/>
    <n v="20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n v="40"/>
    <m/>
    <n v="2199.5300000000043"/>
    <s v="ADM"/>
    <x v="7"/>
    <s v="ADMINIST ET FONCT"/>
    <x v="7"/>
    <n v="758100"/>
    <n v="40"/>
    <x v="4"/>
    <s v="Cotisations individuelles et associatives"/>
    <x v="2"/>
    <n v="75"/>
    <s v="Autres produits de gestion courante"/>
  </r>
  <r>
    <x v="0"/>
    <s v="BQ"/>
    <m/>
    <d v="2024-10-01T00:00:00"/>
    <s v="VIREMENT YAPLAFR-1210839 YAPLA 3805218                            "/>
    <m/>
    <m/>
    <n v="0.63"/>
    <n v="2358.9000000000042"/>
    <s v="ADM"/>
    <x v="25"/>
    <s v="ADMINIST ET FONCT"/>
    <x v="25"/>
    <n v="627000"/>
    <n v="-0.63"/>
    <x v="4"/>
    <s v="Frais bancaires"/>
    <x v="1"/>
    <n v="62"/>
    <s v="Autres services extérieurs"/>
  </r>
  <r>
    <x v="0"/>
    <s v="BQ"/>
    <m/>
    <d v="2024-10-05T00:00:00"/>
    <s v="CH 3327447 Rol-Up Brigitte."/>
    <m/>
    <m/>
    <n v="38.880000000000003"/>
    <n v="2320.0200000000041"/>
    <s v="TE"/>
    <x v="28"/>
    <s v="TOILETTES ECOSAN"/>
    <x v="28"/>
    <n v="606800"/>
    <n v="-38.880000000000003"/>
    <x v="4"/>
    <s v="Autres matières et fournitures"/>
    <x v="1"/>
    <n v="60"/>
    <s v="Achat"/>
  </r>
  <r>
    <x v="0"/>
    <s v="BQ"/>
    <m/>
    <d v="2024-10-11T00:00:00"/>
    <s v="CHEQUE EMIS             3327448"/>
    <m/>
    <m/>
    <n v="783"/>
    <n v="1537.0200000000041"/>
    <s v="TE"/>
    <x v="36"/>
    <s v="TOILETTES ECOSAN"/>
    <x v="36"/>
    <n v="450000"/>
    <n v="-783"/>
    <x v="4"/>
    <s v="Compte courant"/>
    <x v="0"/>
    <n v="45"/>
    <s v="Compte courant"/>
  </r>
  <r>
    <x v="0"/>
    <s v="BQ"/>
    <m/>
    <d v="2024-10-16T00:00:00"/>
    <s v="VIREMENT SOLDE ACTION D AUTO PROCLPJ "/>
    <m/>
    <n v="6000"/>
    <m/>
    <n v="7537.0200000000041"/>
    <s v="TE"/>
    <x v="24"/>
    <s v="TOILETTES ECOSAN"/>
    <x v="24"/>
    <n v="741000"/>
    <n v="6000"/>
    <x v="4"/>
    <s v="Région Nouvelle-Aquitaine"/>
    <x v="2"/>
    <n v="74"/>
    <s v="Subventions d'exploitation"/>
  </r>
  <r>
    <x v="0"/>
    <s v="BQ"/>
    <m/>
    <d v="2024-10-17T00:00:00"/>
    <s v="VIREMENT ME AUDOIN VERONIQUE"/>
    <m/>
    <n v="40"/>
    <m/>
    <n v="7577.0200000000041"/>
    <s v="ADM"/>
    <x v="7"/>
    <s v="ADMINIST ET FONCT"/>
    <x v="7"/>
    <n v="758100"/>
    <n v="40"/>
    <x v="4"/>
    <s v="Cotisations individuelles et associatives"/>
    <x v="2"/>
    <n v="75"/>
    <s v="Autres produits de gestion courante"/>
  </r>
  <r>
    <x v="0"/>
    <s v="BQ"/>
    <m/>
    <d v="2024-10-31T00:00:00"/>
    <s v="VIREMENT YAPLA 4025508                            "/>
    <m/>
    <n v="20"/>
    <m/>
    <n v="7597.0200000000041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11-12T00:00:00"/>
    <s v="CHEQUE EMIS             3327449"/>
    <m/>
    <m/>
    <n v="1000"/>
    <n v="6597.0200000000041"/>
    <s v="TE"/>
    <x v="36"/>
    <s v="TOILETTES ECOSAN"/>
    <x v="36"/>
    <n v="450000"/>
    <n v="-1000"/>
    <x v="4"/>
    <s v="Compte courant"/>
    <x v="0"/>
    <n v="45"/>
    <s v="Compte courant"/>
  </r>
  <r>
    <x v="0"/>
    <s v="BQ"/>
    <m/>
    <d v="2024-11-16T00:00:00"/>
    <s v="CHEQUE EMIS             3327450"/>
    <m/>
    <m/>
    <n v="1000"/>
    <n v="5597.0200000000041"/>
    <s v="TE"/>
    <x v="36"/>
    <s v="TOILETTES ECOSAN"/>
    <x v="36"/>
    <n v="450000"/>
    <n v="-1000"/>
    <x v="4"/>
    <s v="Compte courant"/>
    <x v="0"/>
    <n v="45"/>
    <s v="Compte courant"/>
  </r>
  <r>
    <x v="0"/>
    <s v="BQ"/>
    <m/>
    <d v="2024-11-27T00:00:00"/>
    <s v="VIR INST MICHEL FERILLOT Virement de Femi "/>
    <m/>
    <n v="300"/>
    <m/>
    <n v="5897.0200000000041"/>
    <s v="ADM"/>
    <x v="4"/>
    <s v="ADMINIST ET FONCT"/>
    <x v="4"/>
    <n v="777100"/>
    <n v="300"/>
    <x v="4"/>
    <s v="Dons et autres mises à dispositions gratuites"/>
    <x v="2"/>
    <n v="77"/>
    <s v="Produits exceptionnels"/>
  </r>
  <r>
    <x v="0"/>
    <s v="BQ"/>
    <m/>
    <d v="2024-11-28T00:00:00"/>
    <s v="PRELEVEMENT             Comm de transfert "/>
    <m/>
    <m/>
    <n v="20.25"/>
    <n v="5876.7700000000041"/>
    <s v="TE"/>
    <x v="25"/>
    <s v="TOILETTES ECOSAN"/>
    <x v="25"/>
    <n v="627000"/>
    <n v="-20.25"/>
    <x v="4"/>
    <s v="Frais bancaires"/>
    <x v="1"/>
    <n v="62"/>
    <s v="Autres services extérieurs"/>
  </r>
  <r>
    <x v="0"/>
    <s v="BQ"/>
    <m/>
    <d v="2024-11-28T00:00:00"/>
    <s v="VI EMIS   INITIATIVE CITOYENNE"/>
    <m/>
    <m/>
    <n v="5000"/>
    <n v="897.02000000000407"/>
    <s v="TE"/>
    <x v="45"/>
    <s v="TOILETTES ECOSAN"/>
    <x v="46"/>
    <n v="401000"/>
    <n v="-5000"/>
    <x v="4"/>
    <s v="Fournisseurs"/>
    <x v="0"/>
    <n v="40"/>
    <s v="Fournisseurs"/>
  </r>
  <r>
    <x v="0"/>
    <s v="BQ"/>
    <m/>
    <d v="2024-11-28T00:00:00"/>
    <s v="VI EMIS   INITIATIVE CITOYENNE"/>
    <m/>
    <m/>
    <n v="300"/>
    <n v="5576.7700000000041"/>
    <s v="ADM"/>
    <x v="27"/>
    <s v="ADMINIST ET FONCT"/>
    <x v="27"/>
    <n v="625600"/>
    <n v="-300"/>
    <x v="4"/>
    <s v="Missions et manifestations"/>
    <x v="1"/>
    <n v="62"/>
    <s v="Autres services extérieurs"/>
  </r>
  <r>
    <x v="0"/>
    <s v="BQ"/>
    <m/>
    <d v="2024-12-03T00:00:00"/>
    <s v="VIREMENT YAPLAFR-1367544 4220726                            "/>
    <m/>
    <n v="20"/>
    <m/>
    <n v="5596.7700000000041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12-05T00:00:00"/>
    <s v="VIREMENT JP LAFON convention ictdp                   "/>
    <m/>
    <n v="315"/>
    <m/>
    <n v="5911.7700000000041"/>
    <s v="ADM"/>
    <x v="4"/>
    <s v="ADMINIST ET FONCT"/>
    <x v="4"/>
    <n v="777100"/>
    <n v="315"/>
    <x v="4"/>
    <s v="Dons et autres mises à dispositions gratuites"/>
    <x v="2"/>
    <n v="77"/>
    <s v="Produits exceptionnels"/>
  </r>
  <r>
    <x v="0"/>
    <s v="BQ"/>
    <m/>
    <d v="2024-12-06T00:00:00"/>
    <s v="PRELEVEMENT             Comm de transfert "/>
    <m/>
    <m/>
    <n v="20.25"/>
    <n v="5891.5200000000041"/>
    <s v="TE"/>
    <x v="25"/>
    <s v="TOILETTES ECOSAN"/>
    <x v="25"/>
    <n v="627000"/>
    <n v="-20.25"/>
    <x v="4"/>
    <s v="Frais bancaires"/>
    <x v="1"/>
    <n v="62"/>
    <s v="Autres services extérieurs"/>
  </r>
  <r>
    <x v="0"/>
    <s v="BQ"/>
    <m/>
    <d v="2024-12-06T00:00:00"/>
    <s v="VI EMIS INITIATIVE CITOYENNE "/>
    <m/>
    <m/>
    <n v="300"/>
    <n v="5591.5200000000041"/>
    <s v="ADM"/>
    <x v="18"/>
    <s v="ADMINIST ET FONCT"/>
    <x v="18"/>
    <n v="611000"/>
    <n v="-300"/>
    <x v="4"/>
    <s v="Sous-traitance générale "/>
    <x v="1"/>
    <n v="61"/>
    <s v="Services extérieurs"/>
  </r>
  <r>
    <x v="0"/>
    <s v="BQ"/>
    <m/>
    <d v="2024-12-10T00:00:00"/>
    <s v="VIREMENT  GUILDE EUROPEENNE"/>
    <m/>
    <n v="3333"/>
    <m/>
    <n v="8924.5200000000041"/>
    <s v="TE"/>
    <x v="23"/>
    <s v="TOILETTES ECOSAN"/>
    <x v="23"/>
    <n v="742000"/>
    <n v="3333"/>
    <x v="4"/>
    <s v="AMP-GRATITUDE"/>
    <x v="2"/>
    <n v="74"/>
    <s v="Subventions d'exploitation"/>
  </r>
  <r>
    <x v="0"/>
    <s v="BQ"/>
    <m/>
    <d v="2024-12-12T00:00:00"/>
    <s v="PRELEVEMENT             Comm de transfert "/>
    <m/>
    <m/>
    <n v="20.25"/>
    <n v="8904.2700000000041"/>
    <s v="TE"/>
    <x v="25"/>
    <s v="TOILETTES ECOSAN"/>
    <x v="25"/>
    <n v="627000"/>
    <n v="-20.25"/>
    <x v="4"/>
    <s v="Frais bancaires"/>
    <x v="1"/>
    <n v="62"/>
    <s v="Autres services extérieurs"/>
  </r>
  <r>
    <x v="0"/>
    <s v="BQ"/>
    <m/>
    <d v="2024-12-12T00:00:00"/>
    <s v="VI EMIS     2402027221 ICTDP "/>
    <m/>
    <m/>
    <n v="3000"/>
    <n v="5904.2700000000041"/>
    <s v="TE"/>
    <x v="45"/>
    <s v="TOILETTES ECOSAN"/>
    <x v="46"/>
    <n v="401000"/>
    <n v="-3000"/>
    <x v="4"/>
    <s v="Fournisseurs"/>
    <x v="0"/>
    <n v="40"/>
    <s v="Fournisseurs"/>
  </r>
  <r>
    <x v="0"/>
    <s v="BQ"/>
    <m/>
    <d v="2024-12-18T00:00:00"/>
    <s v="VIREMENTLESGOURGU DON ASSOC 2A2D"/>
    <m/>
    <n v="150"/>
    <m/>
    <n v="6054.2700000000041"/>
    <s v="ADM"/>
    <x v="7"/>
    <s v="ADMINIST ET FONCT"/>
    <x v="7"/>
    <n v="758100"/>
    <n v="150"/>
    <x v="4"/>
    <s v="Cotisations individuelles et associatives"/>
    <x v="2"/>
    <n v="75"/>
    <s v="Autres produits de gestion courante"/>
  </r>
  <r>
    <x v="0"/>
    <s v="BQ"/>
    <m/>
    <d v="2024-12-18T00:00:00"/>
    <s v="CH3327451 Frais poste projet forage"/>
    <m/>
    <m/>
    <n v="26.76"/>
    <n v="6027.5100000000039"/>
    <s v="PF"/>
    <x v="2"/>
    <s v="PROJET FORAGES"/>
    <x v="2"/>
    <n v="626100"/>
    <n v="-26.76"/>
    <x v="4"/>
    <s v="Frais postaux"/>
    <x v="1"/>
    <n v="62"/>
    <s v="Autres services extérieurs"/>
  </r>
  <r>
    <x v="0"/>
    <s v="BQ"/>
    <m/>
    <d v="2024-12-18T00:00:00"/>
    <s v="VIREMENTYAPLA 4301267                            "/>
    <m/>
    <n v="50"/>
    <m/>
    <n v="6077.5100000000039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0"/>
    <s v="BQ"/>
    <m/>
    <d v="2024-12-19T00:00:00"/>
    <s v="VIREMENT ISABELLE LAFON "/>
    <m/>
    <n v="50"/>
    <m/>
    <n v="6127.5100000000039"/>
    <s v="ADM"/>
    <x v="7"/>
    <s v="ADMINIST ET FONCT"/>
    <x v="7"/>
    <n v="758100"/>
    <n v="50"/>
    <x v="4"/>
    <s v="Cotisations individuelles et associatives"/>
    <x v="2"/>
    <n v="75"/>
    <s v="Autres produits de gestion courante"/>
  </r>
  <r>
    <x v="0"/>
    <s v="BQ"/>
    <m/>
    <d v="2024-12-27T00:00:00"/>
    <s v="VIREMENTSGC BORDEAUX METROPOLE "/>
    <m/>
    <n v="27000"/>
    <m/>
    <n v="33127.51"/>
    <s v="PF"/>
    <x v="43"/>
    <s v="PROJET FORAGES"/>
    <x v="44"/>
    <n v="744000"/>
    <n v="27000"/>
    <x v="4"/>
    <s v="Subvention Bx Métropole"/>
    <x v="2"/>
    <n v="74"/>
    <s v="Subventions d'exploitation"/>
  </r>
  <r>
    <x v="0"/>
    <s v="BQ"/>
    <m/>
    <d v="2024-12-31T00:00:00"/>
    <s v="VIREMENT 1412884 YAPLA 4386857                            "/>
    <m/>
    <n v="20"/>
    <m/>
    <n v="33147.51"/>
    <s v="ADM"/>
    <x v="7"/>
    <s v="ADMINIST ET FONCT"/>
    <x v="7"/>
    <n v="758100"/>
    <n v="20"/>
    <x v="4"/>
    <s v="Cotisations individuelles et associatives"/>
    <x v="2"/>
    <n v="75"/>
    <s v="Autres produits de gestion courante"/>
  </r>
  <r>
    <x v="0"/>
    <s v="BQ"/>
    <m/>
    <d v="2024-12-31T00:00:00"/>
    <s v="VIREMENT B FRINGUET JANV25"/>
    <m/>
    <n v="200"/>
    <m/>
    <n v="33347.51"/>
    <s v="ADM"/>
    <x v="7"/>
    <s v="ADMINIST ET FONCT"/>
    <x v="7"/>
    <n v="758100"/>
    <n v="200"/>
    <x v="4"/>
    <s v="Cotisations individuelles et associatives"/>
    <x v="2"/>
    <n v="75"/>
    <s v="Autres produits de gestion courante"/>
  </r>
  <r>
    <x v="0"/>
    <s v="BQ"/>
    <m/>
    <d v="2024-04-21T00:00:00"/>
    <s v="ajustement dépenses ECOSAN"/>
    <m/>
    <m/>
    <n v="55.4"/>
    <n v="33292.11"/>
    <s v="TE"/>
    <x v="47"/>
    <s v="TOILETTES ECOSAN"/>
    <x v="48"/>
    <n v="758800"/>
    <n v="-55.4"/>
    <x v="4"/>
    <s v="Fonds propres"/>
    <x v="2"/>
    <n v="75"/>
    <s v="Produits financiers"/>
  </r>
  <r>
    <x v="0"/>
    <s v="BQ"/>
    <m/>
    <d v="2024-04-21T00:00:00"/>
    <s v="ajustement dépenses ECOSAN"/>
    <m/>
    <n v="55.4"/>
    <m/>
    <n v="33347.51"/>
    <s v="ADM"/>
    <x v="47"/>
    <s v="ADMINIST ET FONCT"/>
    <x v="48"/>
    <n v="758800"/>
    <n v="55.4"/>
    <x v="4"/>
    <s v="Fonds propres"/>
    <x v="2"/>
    <n v="75"/>
    <s v="Produits financiers"/>
  </r>
  <r>
    <x v="0"/>
    <s v="BQ"/>
    <m/>
    <d v="2024-04-21T00:00:00"/>
    <s v="arrondi CCT"/>
    <m/>
    <m/>
    <n v="0.34"/>
    <n v="33347.170000000006"/>
    <s v="TE"/>
    <x v="36"/>
    <s v="TOILETTES ECOSAN"/>
    <x v="36"/>
    <n v="450000"/>
    <n v="-0.34"/>
    <x v="4"/>
    <s v="Compte courant"/>
    <x v="0"/>
    <n v="45"/>
    <s v="Compte courant"/>
  </r>
  <r>
    <x v="0"/>
    <s v="BQ"/>
    <m/>
    <d v="2024-04-21T00:00:00"/>
    <s v="arrondi CCT"/>
    <m/>
    <n v="0.34"/>
    <m/>
    <n v="33347.51"/>
    <s v="ADM"/>
    <x v="47"/>
    <s v="ADMINIST ET FONCT"/>
    <x v="48"/>
    <n v="758800"/>
    <n v="0.34"/>
    <x v="4"/>
    <s v="Fonds propres"/>
    <x v="2"/>
    <n v="75"/>
    <s v="Produits financiers"/>
  </r>
  <r>
    <x v="7"/>
    <s v="BQ"/>
    <m/>
    <d v="2025-06-30T00:00:00"/>
    <s v="Subvention Fraternité"/>
    <m/>
    <n v="912.5"/>
    <m/>
    <n v="-31399.002"/>
    <s v="PF"/>
    <x v="34"/>
    <s v="PROJET FORAGES"/>
    <x v="34"/>
    <n v="748000"/>
    <n v="912.5"/>
    <x v="5"/>
    <s v="Mairie de Teuillac"/>
    <x v="2"/>
    <n v="74"/>
    <s v="Subventions d'exploitation"/>
  </r>
  <r>
    <x v="7"/>
    <s v="BQ"/>
    <m/>
    <d v="2025-01-01T00:00:00"/>
    <s v="solde ouverture"/>
    <m/>
    <n v="15"/>
    <m/>
    <n v="15"/>
    <s v="ADM"/>
    <x v="0"/>
    <s v="ADMINIST ET FONCT"/>
    <x v="0"/>
    <n v="512000"/>
    <n v="15"/>
    <x v="5"/>
    <s v="Banque"/>
    <x v="0"/>
    <n v="50"/>
    <s v="Trésorerie"/>
  </r>
  <r>
    <x v="7"/>
    <s v="BQ"/>
    <m/>
    <d v="2025-01-01T00:00:00"/>
    <s v="solde ouverture"/>
    <m/>
    <n v="2644.16"/>
    <m/>
    <n v="4389.6440000000002"/>
    <s v="ADM"/>
    <x v="0"/>
    <s v="ADMINIST ET FONCT"/>
    <x v="0"/>
    <n v="512000"/>
    <n v="2644.16"/>
    <x v="5"/>
    <s v="Banque"/>
    <x v="0"/>
    <n v="50"/>
    <s v="Trésorerie"/>
  </r>
  <r>
    <x v="7"/>
    <s v="BQ"/>
    <m/>
    <d v="2025-01-01T00:00:00"/>
    <s v="solde ouverture"/>
    <m/>
    <n v="-1244.8900000000001"/>
    <m/>
    <n v="4389.6440000000002"/>
    <s v="TE"/>
    <x v="0"/>
    <s v="TOILETTES ECOSAN"/>
    <x v="0"/>
    <n v="512000"/>
    <n v="-1244.8900000000001"/>
    <x v="5"/>
    <s v="Banque"/>
    <x v="0"/>
    <n v="50"/>
    <s v="Trésorerie"/>
  </r>
  <r>
    <x v="7"/>
    <s v="BQ"/>
    <m/>
    <d v="2025-03-01T00:00:00"/>
    <s v="tréso TE"/>
    <m/>
    <n v="16344"/>
    <m/>
    <m/>
    <s v="TE"/>
    <x v="0"/>
    <s v="TOILETTES ECOSAN"/>
    <x v="0"/>
    <n v="512000"/>
    <n v="16344"/>
    <x v="5"/>
    <s v="Banque"/>
    <x v="0"/>
    <n v="50"/>
    <s v="Trésorerie"/>
  </r>
  <r>
    <x v="7"/>
    <s v="BQ"/>
    <m/>
    <d v="2025-03-01T00:00:00"/>
    <s v="tréso TE"/>
    <m/>
    <m/>
    <m/>
    <m/>
    <s v="TE"/>
    <x v="40"/>
    <s v="TOILETTES ECOSAN"/>
    <x v="40"/>
    <n v="743000"/>
    <n v="0"/>
    <x v="5"/>
    <s v="subvention Agence Adour Garonne"/>
    <x v="2"/>
    <n v="74"/>
    <s v="Subventions d'exploitation"/>
  </r>
  <r>
    <x v="7"/>
    <s v="BQ"/>
    <m/>
    <d v="2025-03-01T00:00:00"/>
    <s v="tréso TE"/>
    <m/>
    <m/>
    <n v="5082"/>
    <m/>
    <s v="TE"/>
    <x v="45"/>
    <s v="TOILETTES ECOSAN"/>
    <x v="46"/>
    <n v="401000"/>
    <n v="-5082"/>
    <x v="5"/>
    <s v="Fournisseurs"/>
    <x v="0"/>
    <n v="40"/>
    <s v="Fournisseurs"/>
  </r>
  <r>
    <x v="7"/>
    <s v="BQ"/>
    <m/>
    <d v="2025-03-01T00:00:00"/>
    <s v="tréso TE"/>
    <m/>
    <m/>
    <n v="6847.72"/>
    <m/>
    <s v="TE"/>
    <x v="36"/>
    <s v="TOILETTES ECOSAN"/>
    <x v="36"/>
    <n v="450000"/>
    <n v="-6847.72"/>
    <x v="5"/>
    <s v="Compte courant"/>
    <x v="0"/>
    <n v="45"/>
    <s v="Compte courant"/>
  </r>
  <r>
    <x v="8"/>
    <m/>
    <m/>
    <d v="2025-03-01T00:00:00"/>
    <s v="tréso TE"/>
    <m/>
    <m/>
    <n v="3169.39"/>
    <m/>
    <s v="TE"/>
    <x v="36"/>
    <s v="TOILETTES ECOSAN"/>
    <x v="36"/>
    <n v="450000"/>
    <n v="-3169.39"/>
    <x v="5"/>
    <s v="Compte courant"/>
    <x v="0"/>
    <n v="45"/>
    <s v="Compte courant"/>
  </r>
  <r>
    <x v="7"/>
    <s v="BQ"/>
    <m/>
    <d v="2025-01-01T00:00:00"/>
    <s v="solde ouverture"/>
    <m/>
    <n v="26973.24"/>
    <m/>
    <n v="4389.6440000000002"/>
    <s v="PF"/>
    <x v="0"/>
    <s v="PROJET FORAGES"/>
    <x v="0"/>
    <n v="512000"/>
    <n v="26973.24"/>
    <x v="5"/>
    <s v="Banque"/>
    <x v="0"/>
    <n v="50"/>
    <s v="Trésorerie"/>
  </r>
  <r>
    <x v="7"/>
    <s v="BQ"/>
    <m/>
    <d v="2025-01-05T00:00:00"/>
    <s v="CHEQUE EMIS MAIF"/>
    <m/>
    <m/>
    <n v="116.1"/>
    <n v="4273.5439999999999"/>
    <s v="ADM"/>
    <x v="5"/>
    <s v="ADMINIST ET FONCT"/>
    <x v="5"/>
    <n v="616000"/>
    <n v="-116.1"/>
    <x v="5"/>
    <s v="Primes d'assurance"/>
    <x v="1"/>
    <n v="61"/>
    <s v="Services extérieurs"/>
  </r>
  <r>
    <x v="7"/>
    <s v="BQ"/>
    <m/>
    <d v="2025-02-09T00:00:00"/>
    <s v="REMISE DE CHEQUE  maillebiau"/>
    <m/>
    <n v="2045"/>
    <m/>
    <n v="6318.5439999999999"/>
    <s v="ADM"/>
    <x v="4"/>
    <s v="ADMINIST ET FONCT"/>
    <x v="4"/>
    <n v="777100"/>
    <n v="2045"/>
    <x v="5"/>
    <s v="Dons et autres mises à dispositions gratuites"/>
    <x v="2"/>
    <n v="77"/>
    <s v="Produits exceptionnels"/>
  </r>
  <r>
    <x v="7"/>
    <s v="BQ"/>
    <m/>
    <d v="2025-03-23T00:00:00"/>
    <s v="CHEQUE EMIS  Com-Inter  déc-mars         "/>
    <m/>
    <m/>
    <n v="255.96"/>
    <n v="6062.5839999999998"/>
    <s v="ADM"/>
    <x v="15"/>
    <s v="ADMINIST ET FONCT"/>
    <x v="15"/>
    <n v="623000"/>
    <n v="-255.96"/>
    <x v="5"/>
    <s v="Publicité, publications, Création de site web"/>
    <x v="1"/>
    <n v="62"/>
    <s v="Autres services extérieurs"/>
  </r>
  <r>
    <x v="7"/>
    <s v="BQ"/>
    <m/>
    <d v="2025-04-03T00:00:00"/>
    <s v="Cotisation béatrice FRINGUET yapla"/>
    <m/>
    <n v="350"/>
    <m/>
    <n v="6412.5839999999998"/>
    <s v="ADM"/>
    <x v="7"/>
    <s v="ADMINIST ET FONCT"/>
    <x v="7"/>
    <n v="758100"/>
    <n v="350"/>
    <x v="5"/>
    <s v="Cotisations individuelles et associatives"/>
    <x v="2"/>
    <n v="75"/>
    <s v="Autres produits de gestion courante"/>
  </r>
  <r>
    <x v="7"/>
    <s v="BQ"/>
    <m/>
    <d v="2025-04-03T00:00:00"/>
    <s v="Cotisation PONS yapla"/>
    <m/>
    <n v="50"/>
    <m/>
    <n v="6462.5839999999998"/>
    <s v="ADM"/>
    <x v="7"/>
    <s v="ADMINIST ET FONCT"/>
    <x v="7"/>
    <n v="758100"/>
    <n v="50"/>
    <x v="5"/>
    <s v="Cotisations individuelles et associatives"/>
    <x v="2"/>
    <n v="75"/>
    <s v="Autres produits de gestion courante"/>
  </r>
  <r>
    <x v="7"/>
    <s v="BQ"/>
    <m/>
    <d v="2025-04-13T00:00:00"/>
    <s v="REMISE DE CHEQUE Don MAILLEBIAU Monique     "/>
    <m/>
    <n v="50"/>
    <m/>
    <n v="6512.5839999999998"/>
    <s v="ADM"/>
    <x v="4"/>
    <s v="ADMINIST ET FONCT"/>
    <x v="4"/>
    <n v="777100"/>
    <n v="50"/>
    <x v="5"/>
    <s v="Dons et autres mises à dispositions gratuites"/>
    <x v="2"/>
    <n v="77"/>
    <s v="Produits exceptionnels"/>
  </r>
  <r>
    <x v="7"/>
    <s v="BQ"/>
    <m/>
    <d v="2025-04-19T00:00:00"/>
    <s v="VIR JPLAFON YAPLA "/>
    <m/>
    <n v="300"/>
    <m/>
    <n v="6812.5839999999998"/>
    <s v="ADM"/>
    <x v="7"/>
    <s v="ADMINIST ET FONCT"/>
    <x v="7"/>
    <n v="758100"/>
    <n v="300"/>
    <x v="5"/>
    <s v="Cotisations individuelles et associatives"/>
    <x v="2"/>
    <n v="75"/>
    <s v="Autres produits de gestion courante"/>
  </r>
  <r>
    <x v="7"/>
    <s v="BQ"/>
    <m/>
    <d v="2025-05-09T00:00:00"/>
    <s v="CHEQUE EMIS  com avril   "/>
    <m/>
    <m/>
    <n v="63.99"/>
    <n v="6748.5940000000001"/>
    <s v="ADM"/>
    <x v="15"/>
    <s v="ADMINIST ET FONCT"/>
    <x v="15"/>
    <n v="623000"/>
    <n v="-63.99"/>
    <x v="5"/>
    <s v="Publicité, publications, Création de site web"/>
    <x v="1"/>
    <n v="62"/>
    <s v="Autres services extérieurs"/>
  </r>
  <r>
    <x v="7"/>
    <s v="BQ"/>
    <m/>
    <d v="2025-05-16T00:00:00"/>
    <s v="CHEQUE EMIS    Adhésion SOCOOP 2023       "/>
    <m/>
    <m/>
    <n v="50"/>
    <n v="6698.5940000000001"/>
    <s v="ADM"/>
    <x v="1"/>
    <s v="ADMINIST ET FONCT"/>
    <x v="1"/>
    <n v="628100"/>
    <n v="-50"/>
    <x v="5"/>
    <s v="adhesion Hellasso"/>
    <x v="1"/>
    <n v="62"/>
    <s v="Autres services extérieurs"/>
  </r>
  <r>
    <x v="7"/>
    <s v="BQ"/>
    <m/>
    <d v="2025-05-16T00:00:00"/>
    <s v="INTERETS CREDITEURS "/>
    <m/>
    <n v="0.34"/>
    <m/>
    <n v="6698.9340000000002"/>
    <s v="ADM"/>
    <x v="42"/>
    <s v="ADMINIST ET FONCT"/>
    <x v="42"/>
    <n v="766000"/>
    <n v="0.34"/>
    <x v="5"/>
    <s v="Produits financiers"/>
    <x v="2"/>
    <n v="76"/>
    <s v="Produits exceptionnels"/>
  </r>
  <r>
    <x v="7"/>
    <s v="BQ"/>
    <m/>
    <d v="2025-05-31T00:00:00"/>
    <s v="CHEQUE EMIS Com Mai     "/>
    <m/>
    <m/>
    <n v="65.989999999999995"/>
    <n v="6632.9440000000004"/>
    <s v="ADM"/>
    <x v="15"/>
    <s v="ADMINIST ET FONCT"/>
    <x v="15"/>
    <n v="623000"/>
    <n v="-65.989999999999995"/>
    <x v="5"/>
    <s v="Publicité, publications, Création de site web"/>
    <x v="1"/>
    <n v="62"/>
    <s v="Autres services extérieurs"/>
  </r>
  <r>
    <x v="7"/>
    <s v="BQ"/>
    <m/>
    <d v="2025-06-05T00:00:00"/>
    <s v="CHEQUE EMIS Achat Encre et rame"/>
    <m/>
    <m/>
    <n v="73.09"/>
    <n v="6559.8540000000003"/>
    <s v="ADM"/>
    <x v="6"/>
    <s v="ADMINIST ET FONCT"/>
    <x v="6"/>
    <n v="606400"/>
    <n v="-73.09"/>
    <x v="5"/>
    <s v="Fournitures administratives"/>
    <x v="1"/>
    <n v="60"/>
    <s v="Achat"/>
  </r>
  <r>
    <x v="7"/>
    <s v="BQ"/>
    <m/>
    <d v="2025-06-13T00:00:00"/>
    <s v="Adhésion BOUYER"/>
    <m/>
    <n v="100"/>
    <m/>
    <n v="6659.8540000000003"/>
    <s v="ADM"/>
    <x v="7"/>
    <s v="ADMINIST ET FONCT"/>
    <x v="7"/>
    <n v="758100"/>
    <n v="100"/>
    <x v="5"/>
    <s v="Cotisations individuelles et associatives"/>
    <x v="2"/>
    <n v="75"/>
    <s v="Autres produits de gestion courante"/>
  </r>
  <r>
    <x v="7"/>
    <s v="BQ"/>
    <m/>
    <d v="2025-06-16T00:00:00"/>
    <s v="Adhésion Evelyne LAFON/ Yapla"/>
    <m/>
    <n v="30"/>
    <m/>
    <n v="6689.8540000000003"/>
    <s v="ADM"/>
    <x v="7"/>
    <s v="ADMINIST ET FONCT"/>
    <x v="7"/>
    <n v="758100"/>
    <n v="30"/>
    <x v="5"/>
    <s v="Cotisations individuelles et associatives"/>
    <x v="2"/>
    <n v="75"/>
    <s v="Autres produits de gestion courante"/>
  </r>
  <r>
    <x v="7"/>
    <s v="BQ"/>
    <m/>
    <d v="2025-06-16T00:00:00"/>
    <s v="Adhésion brigite BOHUON yapla"/>
    <m/>
    <n v="10"/>
    <m/>
    <n v="6699.8540000000003"/>
    <s v="ADM"/>
    <x v="7"/>
    <s v="ADMINIST ET FONCT"/>
    <x v="7"/>
    <n v="758100"/>
    <n v="10"/>
    <x v="5"/>
    <s v="Cotisations individuelles et associatives"/>
    <x v="2"/>
    <n v="75"/>
    <s v="Autres produits de gestion courante"/>
  </r>
  <r>
    <x v="7"/>
    <s v="BQ"/>
    <m/>
    <d v="2025-07-03T00:00:00"/>
    <s v="Jean Jacques COMBAREL"/>
    <m/>
    <n v="20"/>
    <m/>
    <n v="6719.8540000000003"/>
    <s v="ADM"/>
    <x v="7"/>
    <s v="ADMINIST ET FONCT"/>
    <x v="7"/>
    <n v="758100"/>
    <n v="20"/>
    <x v="5"/>
    <s v="Cotisations individuelles et associatives"/>
    <x v="2"/>
    <n v="75"/>
    <s v="Autres produits de gestion courante"/>
  </r>
  <r>
    <x v="7"/>
    <s v="BQ"/>
    <m/>
    <d v="2025-07-07T00:00:00"/>
    <s v="CHEQUE EMIS  Timbre chèq   "/>
    <m/>
    <m/>
    <n v="13.92"/>
    <n v="6705.9340000000002"/>
    <s v="ADM"/>
    <x v="2"/>
    <s v="ADMINIST ET FONCT"/>
    <x v="2"/>
    <n v="626100"/>
    <n v="-13.92"/>
    <x v="5"/>
    <s v="Frais postaux"/>
    <x v="1"/>
    <n v="62"/>
    <s v="Autres services extérieurs"/>
  </r>
  <r>
    <x v="7"/>
    <s v="BQ"/>
    <m/>
    <d v="2025-07-07T00:00:00"/>
    <s v="CHEQUE EMIS  Com juin "/>
    <m/>
    <m/>
    <n v="70.41"/>
    <n v="6635.5240000000003"/>
    <s v="ADM"/>
    <x v="15"/>
    <s v="ADMINIST ET FONCT"/>
    <x v="15"/>
    <n v="623000"/>
    <n v="-70.41"/>
    <x v="5"/>
    <s v="Publicité, publications, Création de site web"/>
    <x v="1"/>
    <n v="62"/>
    <s v="Autres services extérieurs"/>
  </r>
  <r>
    <x v="7"/>
    <s v="BQ"/>
    <m/>
    <d v="2025-07-07T00:00:00"/>
    <s v="Adhésion SAVIGNOL"/>
    <m/>
    <n v="100"/>
    <m/>
    <n v="6735.5240000000003"/>
    <s v="ADM"/>
    <x v="7"/>
    <s v="ADMINIST ET FONCT"/>
    <x v="7"/>
    <n v="758100"/>
    <n v="100"/>
    <x v="5"/>
    <s v="Cotisations individuelles et associatives"/>
    <x v="2"/>
    <n v="75"/>
    <s v="Autres produits de gestion courante"/>
  </r>
  <r>
    <x v="7"/>
    <s v="BQ"/>
    <m/>
    <d v="2025-07-07T00:00:00"/>
    <s v="DON CYGNE DE VIE, 37866220"/>
    <m/>
    <n v="1200"/>
    <m/>
    <n v="7935.5240000000003"/>
    <s v="ADM"/>
    <x v="4"/>
    <s v="ADMINIST ET FONCT"/>
    <x v="4"/>
    <n v="777100"/>
    <n v="1200"/>
    <x v="5"/>
    <s v="Dons et autres mises à dispositions gratuites"/>
    <x v="2"/>
    <n v="77"/>
    <s v="Produits exceptionnels"/>
  </r>
  <r>
    <x v="7"/>
    <s v="BQ"/>
    <m/>
    <d v="2025-07-17T00:00:00"/>
    <s v="VIR LEMONWAY MEMBOGO-507792 YAPLA "/>
    <m/>
    <n v="50"/>
    <m/>
    <n v="7985.5240000000003"/>
    <s v="ADM"/>
    <x v="7"/>
    <s v="ADMINIST ET FONCT"/>
    <x v="7"/>
    <n v="758100"/>
    <n v="50"/>
    <x v="5"/>
    <s v="Cotisations individuelles et associatives"/>
    <x v="2"/>
    <n v="75"/>
    <s v="Autres produits de gestion courante"/>
  </r>
  <r>
    <x v="7"/>
    <s v="BQ"/>
    <m/>
    <d v="2025-08-01T00:00:00"/>
    <s v="VIR LEMONWAY MEMBOGO-534776 YAPLA "/>
    <m/>
    <n v="30"/>
    <m/>
    <n v="8015.5240000000003"/>
    <s v="ADM"/>
    <x v="7"/>
    <s v="ADMINIST ET FONCT"/>
    <x v="7"/>
    <n v="758100"/>
    <n v="30"/>
    <x v="5"/>
    <s v="Cotisations individuelles et associatives"/>
    <x v="2"/>
    <n v="75"/>
    <s v="Autres produits de gestion courante"/>
  </r>
  <r>
    <x v="7"/>
    <s v="BQ"/>
    <m/>
    <d v="2025-08-30T00:00:00"/>
    <s v="MESPLE Isabelle"/>
    <m/>
    <n v="50"/>
    <m/>
    <n v="8065.5240000000003"/>
    <s v="ADM"/>
    <x v="7"/>
    <s v="ADMINIST ET FONCT"/>
    <x v="7"/>
    <n v="758100"/>
    <n v="50"/>
    <x v="5"/>
    <s v="Cotisations individuelles et associatives"/>
    <x v="2"/>
    <n v="75"/>
    <s v="Autres produits de gestion courante"/>
  </r>
  <r>
    <x v="7"/>
    <s v="BQ"/>
    <m/>
    <d v="2025-09-02T00:00:00"/>
    <s v="Adhésion Bodjok Namka et BOUTOU Eloi,"/>
    <m/>
    <n v="60"/>
    <m/>
    <n v="8125.5240000000003"/>
    <s v="ADM"/>
    <x v="7"/>
    <s v="ADMINIST ET FONCT"/>
    <x v="7"/>
    <n v="758100"/>
    <n v="60"/>
    <x v="5"/>
    <s v="Cotisations individuelles et associatives"/>
    <x v="2"/>
    <n v="75"/>
    <s v="Autres produits de gestion courante"/>
  </r>
  <r>
    <x v="7"/>
    <s v="BQ"/>
    <m/>
    <d v="2025-09-07T00:00:00"/>
    <s v="CHEQUE EMIS Com juin juillet-Août             "/>
    <m/>
    <m/>
    <n v="127.71"/>
    <n v="7997.8140000000003"/>
    <s v="ADM"/>
    <x v="15"/>
    <s v="ADMINIST ET FONCT"/>
    <x v="15"/>
    <n v="623000"/>
    <n v="-127.71"/>
    <x v="5"/>
    <s v="Publicité, publications, Création de site web"/>
    <x v="1"/>
    <n v="62"/>
    <s v="Autres services extérieurs"/>
  </r>
  <r>
    <x v="7"/>
    <s v="BQ"/>
    <m/>
    <d v="2025-09-07T00:00:00"/>
    <s v="CHEQUE EMIS Com juin juillet-Août             "/>
    <m/>
    <n v="467.2"/>
    <m/>
    <n v="8465.014000000001"/>
    <s v="ADM"/>
    <x v="15"/>
    <s v="ADMINIST ET FONCT"/>
    <x v="15"/>
    <n v="623000"/>
    <n v="467.2"/>
    <x v="5"/>
    <s v="Publicité, publications, Création de site web"/>
    <x v="1"/>
    <n v="62"/>
    <s v="Autres services extérieurs"/>
  </r>
  <r>
    <x v="7"/>
    <s v="BQ"/>
    <m/>
    <d v="2025-10-02T00:00:00"/>
    <s v="Adhésion "/>
    <m/>
    <n v="10"/>
    <m/>
    <n v="8475.014000000001"/>
    <s v="ADM"/>
    <x v="7"/>
    <s v="ADMINIST ET FONCT"/>
    <x v="7"/>
    <n v="758100"/>
    <n v="10"/>
    <x v="5"/>
    <s v="Cotisations individuelles et associatives"/>
    <x v="2"/>
    <n v="75"/>
    <s v="Autres produits de gestion courante"/>
  </r>
  <r>
    <x v="7"/>
    <s v="BQ"/>
    <m/>
    <d v="2025-10-02T00:00:00"/>
    <s v="Adhésion FLAFON"/>
    <m/>
    <n v="50"/>
    <m/>
    <n v="8525.014000000001"/>
    <s v="ADM"/>
    <x v="7"/>
    <s v="ADMINIST ET FONCT"/>
    <x v="7"/>
    <n v="758100"/>
    <n v="50"/>
    <x v="5"/>
    <s v="Cotisations individuelles et associatives"/>
    <x v="2"/>
    <n v="75"/>
    <s v="Autres produits de gestion courante"/>
  </r>
  <r>
    <x v="7"/>
    <s v="BQ"/>
    <m/>
    <d v="2025-12-01T00:00:00"/>
    <s v="VIREMENT  YAPLA AURORE            "/>
    <m/>
    <n v="20"/>
    <m/>
    <n v="8545.014000000001"/>
    <s v="ADM"/>
    <x v="7"/>
    <s v="ADMINIST ET FONCT"/>
    <x v="7"/>
    <n v="758100"/>
    <n v="20"/>
    <x v="5"/>
    <s v="Cotisations individuelles et associatives"/>
    <x v="2"/>
    <n v="75"/>
    <s v="Autres produits de gestion courante"/>
  </r>
  <r>
    <x v="7"/>
    <s v="BQ"/>
    <m/>
    <d v="2025-11-14T00:00:00"/>
    <s v="CHEQUE EMIS 3327435"/>
    <m/>
    <m/>
    <n v="123.98"/>
    <n v="8421.0340000000015"/>
    <s v="ADM"/>
    <x v="15"/>
    <s v="ADMINIST ET FONCT"/>
    <x v="15"/>
    <n v="623000"/>
    <n v="-123.98"/>
    <x v="5"/>
    <s v="Publicité, publications, Création de site web"/>
    <x v="1"/>
    <n v="62"/>
    <s v="Autres services extérieurs"/>
  </r>
  <r>
    <x v="7"/>
    <s v="BQ"/>
    <m/>
    <d v="2025-11-14T00:00:00"/>
    <s v="AFF COMM ECOSAN"/>
    <m/>
    <n v="99.184000000000012"/>
    <m/>
    <n v="8520.2180000000008"/>
    <s v="ADM"/>
    <x v="15"/>
    <s v="ADMINIST ET FONCT"/>
    <x v="15"/>
    <n v="623000"/>
    <n v="99.184000000000012"/>
    <x v="5"/>
    <s v="Publicité, publications, Création de site web"/>
    <x v="1"/>
    <n v="62"/>
    <s v="Autres services extérieurs"/>
  </r>
  <r>
    <x v="7"/>
    <s v="BQ"/>
    <m/>
    <d v="2025-11-14T00:00:00"/>
    <s v="REMISE DE CHEQUE 3625686 "/>
    <m/>
    <n v="70"/>
    <m/>
    <n v="8590.2180000000008"/>
    <s v="ADM"/>
    <x v="7"/>
    <s v="ADMINIST ET FONCT"/>
    <x v="7"/>
    <n v="758100"/>
    <n v="70"/>
    <x v="5"/>
    <s v="Cotisations individuelles et associatives"/>
    <x v="2"/>
    <n v="75"/>
    <s v="Autres produits de gestion courante"/>
  </r>
  <r>
    <x v="7"/>
    <s v="BQ"/>
    <m/>
    <d v="2025-11-07T00:00:00"/>
    <s v="VIREMENT EN VOTRE FAVEUR_x000a_Stripe Technology Europe Ltd HelloAsso Q4V0E8 "/>
    <m/>
    <n v="100"/>
    <m/>
    <n v="8690.2180000000008"/>
    <s v="ADM"/>
    <x v="7"/>
    <s v="ADMINIST ET FONCT"/>
    <x v="7"/>
    <n v="758100"/>
    <n v="100"/>
    <x v="5"/>
    <s v="Cotisations individuelles et associatives"/>
    <x v="2"/>
    <n v="75"/>
    <s v="Autres produits de gestion courante"/>
  </r>
  <r>
    <x v="7"/>
    <s v="BQ"/>
    <m/>
    <d v="2025-11-03T00:00:00"/>
    <s v="VIREMENT YAPLA  CHRISTELLE_x000a_      "/>
    <m/>
    <n v="100"/>
    <m/>
    <n v="8790.2180000000008"/>
    <s v="ADM"/>
    <x v="7"/>
    <s v="ADMINIST ET FONCT"/>
    <x v="7"/>
    <n v="758100"/>
    <n v="100"/>
    <x v="5"/>
    <s v="Cotisations individuelles et associatives"/>
    <x v="2"/>
    <n v="75"/>
    <s v="Autres produits de gestion courante"/>
  </r>
  <r>
    <x v="7"/>
    <s v="BQ"/>
    <m/>
    <d v="2025-10-17T00:00:00"/>
    <s v="                           "/>
    <m/>
    <n v="434.78"/>
    <m/>
    <n v="9224.9980000000014"/>
    <s v="ADM"/>
    <x v="4"/>
    <s v="ADMINIST ET FONCT"/>
    <x v="4"/>
    <n v="777100"/>
    <n v="434.78"/>
    <x v="5"/>
    <s v="Dons et autres mises à dispositions gratuites"/>
    <x v="2"/>
    <n v="77"/>
    <s v="Produits exceptionnels"/>
  </r>
  <r>
    <x v="7"/>
    <s v="BQ"/>
    <m/>
    <d v="2025-03-31T00:00:00"/>
    <s v="CONVENTION ICTDP"/>
    <m/>
    <m/>
    <n v="300"/>
    <n v="8924.9980000000014"/>
    <s v="ADM"/>
    <x v="8"/>
    <s v="ADMINIST ET FONCT"/>
    <x v="8"/>
    <n v="604000"/>
    <n v="-300"/>
    <x v="5"/>
    <s v="Prestations de services (Hydrogéologue Nokbak)"/>
    <x v="1"/>
    <n v="60"/>
    <s v="Achat"/>
  </r>
  <r>
    <x v="7"/>
    <s v="BQ"/>
    <m/>
    <d v="2025-06-30T00:00:00"/>
    <s v="CONVENTION ICTDP"/>
    <m/>
    <m/>
    <n v="300"/>
    <n v="8624.9980000000014"/>
    <s v="ADM"/>
    <x v="8"/>
    <s v="ADMINIST ET FONCT"/>
    <x v="8"/>
    <n v="604000"/>
    <n v="-300"/>
    <x v="5"/>
    <s v="Prestations de services (Hydrogéologue Nokbak)"/>
    <x v="1"/>
    <n v="60"/>
    <s v="Achat"/>
  </r>
  <r>
    <x v="7"/>
    <s v="BQ"/>
    <m/>
    <d v="2025-08-31T00:00:00"/>
    <s v="PART DEPLACEMENT SABINE France"/>
    <m/>
    <m/>
    <n v="1500"/>
    <n v="7124.9980000000014"/>
    <s v="ADM"/>
    <x v="27"/>
    <s v="ADMINIST ET FONCT"/>
    <x v="27"/>
    <n v="625600"/>
    <n v="-1500"/>
    <x v="5"/>
    <s v="Missions et manifestations"/>
    <x v="1"/>
    <n v="62"/>
    <s v="Autres services extérieurs"/>
  </r>
  <r>
    <x v="7"/>
    <s v="BQ"/>
    <m/>
    <d v="2025-08-31T00:00:00"/>
    <s v="DON JPL"/>
    <m/>
    <n v="1500"/>
    <m/>
    <n v="8624.9980000000014"/>
    <s v="ADM"/>
    <x v="4"/>
    <s v="ADMINIST ET FONCT"/>
    <x v="4"/>
    <n v="777100"/>
    <n v="1500"/>
    <x v="5"/>
    <s v="Dons et autres mises à dispositions gratuites"/>
    <x v="2"/>
    <n v="77"/>
    <s v="Produits exceptionnels"/>
  </r>
  <r>
    <x v="7"/>
    <s v="BQ"/>
    <m/>
    <d v="2025-08-31T00:00:00"/>
    <s v="DON FRATERNITE pour fonds propres"/>
    <m/>
    <n v="912.5"/>
    <m/>
    <n v="8037.4980000000014"/>
    <s v="ADM"/>
    <x v="46"/>
    <s v="ADMINIST ET FONCT"/>
    <x v="47"/>
    <n v="777200"/>
    <n v="912.5"/>
    <x v="5"/>
    <s v="Autres partenariats"/>
    <x v="2"/>
    <n v="77"/>
    <s v="Emplois des contributions volontaires"/>
  </r>
  <r>
    <x v="7"/>
    <s v="BQ"/>
    <m/>
    <d v="2025-09-30T00:00:00"/>
    <s v="CONVENTION ICTDP"/>
    <m/>
    <m/>
    <n v="300"/>
    <n v="8324.9980000000014"/>
    <s v="ADM"/>
    <x v="8"/>
    <s v="ADMINIST ET FONCT"/>
    <x v="8"/>
    <n v="604000"/>
    <n v="-300"/>
    <x v="5"/>
    <s v="Prestations de services (Hydrogéologue Nokbak)"/>
    <x v="1"/>
    <n v="60"/>
    <s v="Achat"/>
  </r>
  <r>
    <x v="7"/>
    <s v="BQ"/>
    <m/>
    <d v="2025-12-31T00:00:00"/>
    <s v="CONVENTION ICTDP"/>
    <m/>
    <m/>
    <n v="300"/>
    <n v="8024.9980000000014"/>
    <s v="ADM"/>
    <x v="8"/>
    <s v="ADMINIST ET FONCT"/>
    <x v="8"/>
    <n v="604000"/>
    <n v="-300"/>
    <x v="5"/>
    <s v="Prestations de services (Hydrogéologue Nokbak)"/>
    <x v="1"/>
    <n v="60"/>
    <s v="Achat"/>
  </r>
  <r>
    <x v="7"/>
    <s v="BQ"/>
    <m/>
    <d v="2025-03-31T00:00:00"/>
    <s v="DON JPL"/>
    <m/>
    <n v="300"/>
    <m/>
    <n v="8324.9980000000014"/>
    <s v="ADM"/>
    <x v="41"/>
    <s v="ADMINIST ET FONCT"/>
    <x v="41"/>
    <n v="777000"/>
    <n v="300"/>
    <x v="5"/>
    <s v="Produits exceptionnels"/>
    <x v="2"/>
    <n v="77"/>
    <s v="Produits exceptionnels"/>
  </r>
  <r>
    <x v="7"/>
    <s v="BQ"/>
    <m/>
    <d v="2025-06-30T00:00:00"/>
    <s v="DON JPL"/>
    <m/>
    <n v="300"/>
    <m/>
    <n v="8624.9980000000014"/>
    <s v="ADM"/>
    <x v="41"/>
    <s v="ADMINIST ET FONCT"/>
    <x v="41"/>
    <n v="777000"/>
    <n v="300"/>
    <x v="5"/>
    <s v="Produits exceptionnels"/>
    <x v="2"/>
    <n v="77"/>
    <s v="Produits exceptionnels"/>
  </r>
  <r>
    <x v="7"/>
    <s v="BQ"/>
    <m/>
    <d v="2025-09-30T00:00:00"/>
    <s v="DON JPL"/>
    <m/>
    <n v="300"/>
    <m/>
    <n v="8924.9980000000014"/>
    <s v="ADM"/>
    <x v="41"/>
    <s v="ADMINIST ET FONCT"/>
    <x v="41"/>
    <n v="777000"/>
    <n v="300"/>
    <x v="5"/>
    <s v="Produits exceptionnels"/>
    <x v="2"/>
    <n v="77"/>
    <s v="Produits exceptionnels"/>
  </r>
  <r>
    <x v="7"/>
    <s v="BQ"/>
    <m/>
    <d v="2025-12-31T00:00:00"/>
    <s v="DON JPL"/>
    <m/>
    <n v="300"/>
    <m/>
    <n v="9224.9980000000014"/>
    <s v="ADM"/>
    <x v="41"/>
    <s v="ADMINIST ET FONCT"/>
    <x v="41"/>
    <n v="777000"/>
    <n v="300"/>
    <x v="5"/>
    <s v="Produits exceptionnels"/>
    <x v="2"/>
    <n v="77"/>
    <s v="Produits exceptionnels"/>
  </r>
  <r>
    <x v="7"/>
    <s v="BQ"/>
    <m/>
    <d v="2025-12-31T00:00:00"/>
    <s v="Étude et Prospection hydrogéologique et  géographique 2 forages"/>
    <m/>
    <m/>
    <n v="525"/>
    <n v="-525"/>
    <s v="PF"/>
    <x v="18"/>
    <s v="PROJET FORAGES"/>
    <x v="18"/>
    <n v="611000"/>
    <n v="-525"/>
    <x v="5"/>
    <s v="Sous-traitance générale "/>
    <x v="1"/>
    <n v="61"/>
    <s v="Services extérieurs"/>
  </r>
  <r>
    <x v="7"/>
    <s v="BQ"/>
    <m/>
    <d v="2025-12-31T00:00:00"/>
    <s v="Frais de rédaction de projet et suivi comptable"/>
    <m/>
    <m/>
    <n v="875"/>
    <n v="-1400"/>
    <s v="PF"/>
    <x v="18"/>
    <s v="PROJET FORAGES"/>
    <x v="18"/>
    <n v="611000"/>
    <n v="-875"/>
    <x v="5"/>
    <s v="Sous-traitance générale "/>
    <x v="1"/>
    <n v="61"/>
    <s v="Services extérieurs"/>
  </r>
  <r>
    <x v="7"/>
    <s v="BQ"/>
    <m/>
    <d v="2025-12-31T00:00:00"/>
    <s v="indemnité de suivi et gestion du projet dans le pays local concerné"/>
    <m/>
    <m/>
    <n v="500"/>
    <n v="-1900"/>
    <s v="PF"/>
    <x v="18"/>
    <s v="PROJET FORAGES"/>
    <x v="18"/>
    <n v="611000"/>
    <n v="-500"/>
    <x v="5"/>
    <s v="Sous-traitance générale "/>
    <x v="1"/>
    <n v="61"/>
    <s v="Services extérieurs"/>
  </r>
  <r>
    <x v="7"/>
    <s v="BQ"/>
    <m/>
    <d v="2025-12-31T00:00:00"/>
    <s v="Déplacements (billet d'avion, location de voiture dans le pays)"/>
    <m/>
    <m/>
    <n v="848.24"/>
    <n v="-2775"/>
    <s v="PF"/>
    <x v="16"/>
    <s v="PROJET FORAGES"/>
    <x v="16"/>
    <n v="625000"/>
    <n v="-848.24"/>
    <x v="5"/>
    <s v="Déplacements, missions et réceptions"/>
    <x v="1"/>
    <n v="62"/>
    <s v="Autres services extérieurs"/>
  </r>
  <r>
    <x v="7"/>
    <s v="BQ"/>
    <m/>
    <d v="2025-12-31T00:00:00"/>
    <s v="Hébergement"/>
    <m/>
    <m/>
    <n v="250"/>
    <n v="-3025"/>
    <s v="PF"/>
    <x v="16"/>
    <s v="PROJET FORAGES"/>
    <x v="16"/>
    <n v="625000"/>
    <n v="-250"/>
    <x v="5"/>
    <s v="Déplacements, missions et réceptions"/>
    <x v="1"/>
    <n v="62"/>
    <s v="Autres services extérieurs"/>
  </r>
  <r>
    <x v="7"/>
    <s v="BQ"/>
    <m/>
    <d v="2025-12-31T00:00:00"/>
    <s v="Restauration"/>
    <m/>
    <m/>
    <n v="250"/>
    <n v="-3275"/>
    <s v="PF"/>
    <x v="16"/>
    <s v="PROJET FORAGES"/>
    <x v="16"/>
    <n v="625000"/>
    <n v="-250"/>
    <x v="5"/>
    <s v="Déplacements, missions et réceptions"/>
    <x v="1"/>
    <n v="62"/>
    <s v="Autres services extérieurs"/>
  </r>
  <r>
    <x v="7"/>
    <s v="BQ"/>
    <m/>
    <d v="2025-12-31T00:00:00"/>
    <s v="Préparation, amenée, installation générale et foration"/>
    <m/>
    <m/>
    <n v="8932.25"/>
    <n v="-12207.25"/>
    <s v="PF"/>
    <x v="18"/>
    <s v="PROJET FORAGES"/>
    <x v="18"/>
    <n v="611000"/>
    <n v="-8932.25"/>
    <x v="5"/>
    <s v="Sous-traitance générale "/>
    <x v="1"/>
    <n v="61"/>
    <s v="Services extérieurs"/>
  </r>
  <r>
    <x v="7"/>
    <s v="BQ"/>
    <m/>
    <d v="2025-12-31T00:00:00"/>
    <s v="Fournitures et panneaux solaires"/>
    <m/>
    <m/>
    <n v="3795.5"/>
    <n v="-16002.75"/>
    <s v="PF"/>
    <x v="18"/>
    <s v="PROJET FORAGES"/>
    <x v="18"/>
    <n v="611000"/>
    <n v="-3795.5"/>
    <x v="5"/>
    <s v="Sous-traitance générale "/>
    <x v="1"/>
    <n v="61"/>
    <s v="Services extérieurs"/>
  </r>
  <r>
    <x v="7"/>
    <s v="BQ"/>
    <m/>
    <d v="2025-12-31T00:00:00"/>
    <s v="Plomberie, construction de bornes fontaines de 2*6 robinets"/>
    <m/>
    <m/>
    <n v="1628.5"/>
    <n v="-17631.25"/>
    <s v="PF"/>
    <x v="18"/>
    <s v="PROJET FORAGES"/>
    <x v="18"/>
    <n v="611000"/>
    <n v="-1628.5"/>
    <x v="5"/>
    <s v="Sous-traitance générale "/>
    <x v="1"/>
    <n v="61"/>
    <s v="Services extérieurs"/>
  </r>
  <r>
    <x v="7"/>
    <s v="BQ"/>
    <m/>
    <d v="2025-12-31T00:00:00"/>
    <s v="Déplacement et essais pompages"/>
    <m/>
    <m/>
    <n v="306"/>
    <n v="-17937.25"/>
    <s v="PF"/>
    <x v="18"/>
    <s v="PROJET FORAGES"/>
    <x v="18"/>
    <n v="611000"/>
    <n v="-306"/>
    <x v="5"/>
    <s v="Sous-traitance générale "/>
    <x v="1"/>
    <n v="61"/>
    <s v="Services extérieurs"/>
  </r>
  <r>
    <x v="7"/>
    <s v="BQ"/>
    <m/>
    <d v="2025-12-31T00:00:00"/>
    <s v="Analyse physico-chimique de l’eau"/>
    <m/>
    <m/>
    <n v="300"/>
    <n v="-18237.25"/>
    <s v="PF"/>
    <x v="18"/>
    <s v="PROJET FORAGES"/>
    <x v="18"/>
    <n v="611000"/>
    <n v="-300"/>
    <x v="5"/>
    <s v="Sous-traitance générale "/>
    <x v="1"/>
    <n v="61"/>
    <s v="Services extérieurs"/>
  </r>
  <r>
    <x v="7"/>
    <s v="BQ"/>
    <m/>
    <d v="2025-12-31T00:00:00"/>
    <s v="Suivi contrôle par un technicien hydrogéologue"/>
    <m/>
    <m/>
    <n v="400"/>
    <n v="-18637.25"/>
    <s v="PF"/>
    <x v="18"/>
    <s v="PROJET FORAGES"/>
    <x v="18"/>
    <n v="611000"/>
    <n v="-400"/>
    <x v="5"/>
    <s v="Sous-traitance générale "/>
    <x v="1"/>
    <n v="61"/>
    <s v="Services extérieurs"/>
  </r>
  <r>
    <x v="7"/>
    <s v="BQ"/>
    <m/>
    <d v="2025-12-31T00:00:00"/>
    <s v="Main d'œuvre pour l'ensemble"/>
    <m/>
    <m/>
    <n v="2750"/>
    <n v="-21387.25"/>
    <s v="PF"/>
    <x v="18"/>
    <s v="PROJET FORAGES"/>
    <x v="18"/>
    <n v="611000"/>
    <n v="-2750"/>
    <x v="5"/>
    <s v="Sous-traitance générale "/>
    <x v="1"/>
    <n v="61"/>
    <s v="Services extérieurs"/>
  </r>
  <r>
    <x v="7"/>
    <s v="BQ"/>
    <m/>
    <d v="2025-12-31T00:00:00"/>
    <s v="Construction de 23 toilettes écologiques  Ecosan"/>
    <m/>
    <m/>
    <n v="8275"/>
    <n v="-29662.25"/>
    <s v="PF"/>
    <x v="18"/>
    <s v="PROJET FORAGES"/>
    <x v="18"/>
    <n v="611000"/>
    <n v="-8275"/>
    <x v="5"/>
    <s v="Sous-traitance générale "/>
    <x v="1"/>
    <n v="61"/>
    <s v="Services extérieurs"/>
  </r>
  <r>
    <x v="7"/>
    <s v="BQ"/>
    <m/>
    <d v="2025-12-31T00:00:00"/>
    <s v="Formation des outils de travail et de gestion COGES-EA"/>
    <m/>
    <m/>
    <n v="775"/>
    <n v="-30437.25"/>
    <s v="PF"/>
    <x v="32"/>
    <s v="PROJET FORAGES"/>
    <x v="32"/>
    <n v="622800"/>
    <n v="-775"/>
    <x v="5"/>
    <s v="Frais de formation"/>
    <x v="1"/>
    <n v="62"/>
    <s v="Autres services extérieurs"/>
  </r>
  <r>
    <x v="7"/>
    <s v="BQ"/>
    <m/>
    <d v="2025-12-31T00:00:00"/>
    <s v="Sensibilisation des parents d'élèves sur l'importance de l'education de la jeune fille / l'eau et assainissement"/>
    <m/>
    <m/>
    <n v="500"/>
    <n v="-30937.25"/>
    <s v="PF"/>
    <x v="32"/>
    <s v="PROJET FORAGES"/>
    <x v="32"/>
    <n v="622800"/>
    <n v="-500"/>
    <x v="5"/>
    <s v="Frais de formation"/>
    <x v="1"/>
    <n v="62"/>
    <s v="Autres services extérieurs"/>
  </r>
  <r>
    <x v="7"/>
    <s v="BQ"/>
    <m/>
    <d v="2025-12-31T00:00:00"/>
    <s v="Sensibilisation sur l'hygiène et  assainissement de la population  (méthode PHAST)"/>
    <m/>
    <m/>
    <n v="1000"/>
    <n v="-31937.25"/>
    <s v="PF"/>
    <x v="32"/>
    <s v="PROJET FORAGES"/>
    <x v="32"/>
    <n v="622800"/>
    <n v="-1000"/>
    <x v="5"/>
    <s v="Frais de formation"/>
    <x v="1"/>
    <n v="62"/>
    <s v="Autres services extérieurs"/>
  </r>
  <r>
    <x v="7"/>
    <s v="BQ"/>
    <m/>
    <d v="2025-12-31T00:00:00"/>
    <s v="Formation des agriculteurs sur la méthode de vidange et achat de matériel de vidange pour 10 agriculteurs"/>
    <m/>
    <m/>
    <n v="875"/>
    <n v="-32812.25"/>
    <s v="PF"/>
    <x v="32"/>
    <s v="PROJET FORAGES"/>
    <x v="32"/>
    <n v="622800"/>
    <n v="-875"/>
    <x v="5"/>
    <s v="Frais de formation"/>
    <x v="1"/>
    <n v="62"/>
    <s v="Autres services extérieurs"/>
  </r>
  <r>
    <x v="7"/>
    <s v="BQ"/>
    <m/>
    <d v="2025-12-31T00:00:00"/>
    <s v="Suivi des maladies liées à l'eau et assainissement dans les dispensaires les plus proches"/>
    <m/>
    <m/>
    <n v="300"/>
    <n v="-33112.25"/>
    <s v="PF"/>
    <x v="18"/>
    <s v="PROJET FORAGES"/>
    <x v="18"/>
    <n v="611000"/>
    <n v="-300"/>
    <x v="5"/>
    <s v="Sous-traitance générale "/>
    <x v="1"/>
    <n v="61"/>
    <s v="Services extérieurs"/>
  </r>
  <r>
    <x v="7"/>
    <s v="BQ"/>
    <m/>
    <d v="2025-12-31T00:00:00"/>
    <s v="Frais de reboisement des 2 sites"/>
    <m/>
    <m/>
    <n v="75"/>
    <n v="-33187.25"/>
    <s v="PF"/>
    <x v="18"/>
    <s v="PROJET FORAGES"/>
    <x v="18"/>
    <n v="611000"/>
    <n v="-75"/>
    <x v="5"/>
    <s v="Sous-traitance générale "/>
    <x v="1"/>
    <n v="61"/>
    <s v="Services extérieurs"/>
  </r>
  <r>
    <x v="7"/>
    <s v="BQ"/>
    <m/>
    <d v="2025-12-31T00:00:00"/>
    <s v="Communication "/>
    <m/>
    <m/>
    <n v="1325"/>
    <n v="-34512.25"/>
    <s v="PF"/>
    <x v="15"/>
    <s v="PROJET FORAGES"/>
    <x v="15"/>
    <n v="623000"/>
    <n v="-1325"/>
    <x v="5"/>
    <s v="Publicité, publications, Création de site web"/>
    <x v="1"/>
    <n v="62"/>
    <s v="Autres services extérieurs"/>
  </r>
  <r>
    <x v="7"/>
    <s v="BQ"/>
    <m/>
    <d v="2025-12-31T00:00:00"/>
    <s v="Capitalisation"/>
    <m/>
    <m/>
    <n v="500"/>
    <n v="-35012.25"/>
    <s v="PF"/>
    <x v="18"/>
    <s v="PROJET FORAGES"/>
    <x v="18"/>
    <n v="611000"/>
    <n v="-500"/>
    <x v="5"/>
    <s v="Sous-traitance générale "/>
    <x v="1"/>
    <n v="61"/>
    <s v="Services extérieurs"/>
  </r>
  <r>
    <x v="7"/>
    <s v="BQ"/>
    <m/>
    <d v="2025-12-31T00:00:00"/>
    <s v="Evaluation externe du projet sur le terrain"/>
    <m/>
    <m/>
    <n v="450"/>
    <n v="-35462.25"/>
    <s v="PF"/>
    <x v="18"/>
    <s v="PROJET FORAGES"/>
    <x v="18"/>
    <n v="611000"/>
    <n v="-450"/>
    <x v="5"/>
    <s v="Sous-traitance générale "/>
    <x v="1"/>
    <n v="61"/>
    <s v="Services extérieurs"/>
  </r>
  <r>
    <x v="7"/>
    <s v="BQ"/>
    <m/>
    <d v="2025-12-31T00:00:00"/>
    <s v="Consommables bureautique"/>
    <m/>
    <m/>
    <n v="486.75"/>
    <n v="-35949"/>
    <s v="PF"/>
    <x v="18"/>
    <s v="PROJET FORAGES"/>
    <x v="18"/>
    <n v="611000"/>
    <n v="-486.75"/>
    <x v="5"/>
    <s v="Sous-traitance générale "/>
    <x v="1"/>
    <n v="61"/>
    <s v="Services extérieurs"/>
  </r>
  <r>
    <x v="7"/>
    <s v="BQ"/>
    <m/>
    <d v="2025-12-31T00:00:00"/>
    <s v="Ceremonie de réception des 2 forages"/>
    <m/>
    <m/>
    <n v="325"/>
    <n v="-36274"/>
    <s v="PF"/>
    <x v="18"/>
    <s v="PROJET FORAGES"/>
    <x v="18"/>
    <n v="611000"/>
    <n v="-325"/>
    <x v="5"/>
    <s v="Sous-traitance générale "/>
    <x v="1"/>
    <n v="61"/>
    <s v="Services extérieurs"/>
  </r>
  <r>
    <x v="7"/>
    <s v="BQ"/>
    <m/>
    <d v="2025-12-31T00:00:00"/>
    <s v="Fabrication des plaques d'identification des forages (logos partenaires)"/>
    <m/>
    <m/>
    <n v="200"/>
    <n v="-36474"/>
    <s v="PF"/>
    <x v="18"/>
    <s v="PROJET FORAGES"/>
    <x v="18"/>
    <n v="611000"/>
    <n v="-200"/>
    <x v="5"/>
    <s v="Sous-traitance générale "/>
    <x v="1"/>
    <n v="61"/>
    <s v="Services extérieurs"/>
  </r>
  <r>
    <x v="7"/>
    <s v="BQ"/>
    <m/>
    <d v="2025-12-31T00:00:00"/>
    <s v="Bénévolat des membres des associations"/>
    <m/>
    <m/>
    <m/>
    <n v="-36474"/>
    <s v="PF"/>
    <x v="11"/>
    <s v="PROJET FORAGES"/>
    <x v="11"/>
    <n v="862000"/>
    <n v="0"/>
    <x v="5"/>
    <s v="Prestations"/>
    <x v="1"/>
    <n v="86"/>
    <s v="Emplois des contributions volontaires"/>
  </r>
  <r>
    <x v="7"/>
    <s v="BQ"/>
    <m/>
    <d v="2025-12-31T00:00:00"/>
    <s v="Fonds propres ou assimilés"/>
    <m/>
    <m/>
    <m/>
    <n v="-36474"/>
    <s v="PF"/>
    <x v="41"/>
    <s v="PROJET FORAGES"/>
    <x v="41"/>
    <n v="777000"/>
    <n v="0"/>
    <x v="5"/>
    <s v="Produits exceptionnels"/>
    <x v="2"/>
    <n v="77"/>
    <s v="Produits exceptionnels"/>
  </r>
  <r>
    <x v="7"/>
    <s v="BQ"/>
    <m/>
    <d v="2025-12-31T00:00:00"/>
    <s v="Bordeaux metropole"/>
    <m/>
    <m/>
    <m/>
    <n v="-23974"/>
    <s v="PF"/>
    <x v="43"/>
    <s v="PROJET FORAGES"/>
    <x v="44"/>
    <n v="744000"/>
    <n v="0"/>
    <x v="5"/>
    <s v="Subvention Bx Métropole"/>
    <x v="2"/>
    <n v="74"/>
    <s v="Subventions d'exploitation"/>
  </r>
  <r>
    <x v="7"/>
    <s v="BQ"/>
    <m/>
    <d v="2025-12-31T00:00:00"/>
    <s v="Agence de l'Eau Adour Garonne"/>
    <m/>
    <n v="3750"/>
    <m/>
    <n v="-5724"/>
    <s v="PF"/>
    <x v="40"/>
    <s v="PROJET FORAGES"/>
    <x v="40"/>
    <n v="743000"/>
    <n v="3750"/>
    <x v="5"/>
    <s v="subvention Agence Adour Garonne"/>
    <x v="2"/>
    <n v="74"/>
    <s v="Subventions d'exploitation"/>
  </r>
  <r>
    <x v="7"/>
    <s v="BQ"/>
    <m/>
    <d v="2025-12-31T00:00:00"/>
    <s v="Aglo de Brive / Valorem"/>
    <m/>
    <n v="2074"/>
    <m/>
    <n v="-3650"/>
    <s v="PF"/>
    <x v="44"/>
    <s v="PROJET FORAGES"/>
    <x v="45"/>
    <n v="745000"/>
    <n v="2074"/>
    <x v="5"/>
    <s v="Subv Aglo de Brive / Valorem"/>
    <x v="2"/>
    <n v="74"/>
    <s v="Subventions d'exploitation"/>
  </r>
  <r>
    <x v="7"/>
    <s v="BQ"/>
    <m/>
    <d v="2025-12-31T00:00:00"/>
    <s v="Valorisation aide locale"/>
    <m/>
    <n v="1825"/>
    <m/>
    <n v="-1825"/>
    <s v="PF"/>
    <x v="10"/>
    <s v="PROJET FORAGES"/>
    <x v="10"/>
    <n v="871000"/>
    <n v="1825"/>
    <x v="5"/>
    <s v="Prestations en nature"/>
    <x v="2"/>
    <n v="87"/>
    <s v="Contributions volontaires"/>
  </r>
  <r>
    <x v="8"/>
    <m/>
    <m/>
    <m/>
    <m/>
    <m/>
    <m/>
    <m/>
    <m/>
    <m/>
    <x v="48"/>
    <m/>
    <x v="49"/>
    <m/>
    <m/>
    <x v="6"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A6:G10" firstHeaderRow="1" firstDataRow="2" firstDataCol="3" rowPageCount="2" colPageCount="1"/>
  <pivotFields count="20">
    <pivotField axis="axisPage" compact="0" outline="0" multipleItemSelectionAllowed="1" showAll="0">
      <items count="9">
        <item h="1" x="1"/>
        <item x="0"/>
        <item h="1" x="7"/>
        <item h="1" x="2"/>
        <item h="1" x="3"/>
        <item h="1" x="4"/>
        <item h="1" x="5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Col" compact="0" outline="0" showAll="0" defaultSubtotal="0">
      <items count="17">
        <item x="1"/>
        <item x="8"/>
        <item x="13"/>
        <item x="2"/>
        <item x="6"/>
        <item x="9"/>
        <item x="3"/>
        <item x="4"/>
        <item x="5"/>
        <item x="7"/>
        <item x="16"/>
        <item x="0"/>
        <item x="10"/>
        <item x="11"/>
        <item x="12"/>
        <item x="14"/>
        <item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m="1" x="50"/>
        <item x="49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7">
        <item h="1" x="0"/>
        <item h="1" x="1"/>
        <item h="1" x="5"/>
        <item h="1" x="2"/>
        <item h="1" x="3"/>
        <item x="4"/>
        <item t="default"/>
      </items>
    </pivotField>
    <pivotField compact="0" outline="0" showAll="0"/>
    <pivotField axis="axisRow" compact="0" outline="0" multipleItemSelectionAllowed="1" showAll="0">
      <items count="5">
        <item h="1" x="0"/>
        <item sd="0" x="2"/>
        <item sd="0" x="1"/>
        <item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3">
    <i>
      <x v="1"/>
    </i>
    <i>
      <x v="2"/>
    </i>
    <i t="grand">
      <x/>
    </i>
  </rowItems>
  <colFields count="1">
    <field x="11"/>
  </colFields>
  <colItems count="4">
    <i>
      <x/>
    </i>
    <i>
      <x v="2"/>
    </i>
    <i>
      <x v="16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69">
    <format dxfId="913">
      <pivotArea dataOnly="0" grandRow="1" fieldPosition="0"/>
    </format>
    <format dxfId="912">
      <pivotArea type="topRight" dataOnly="0" labelOnly="1" outline="0" fieldPosition="0"/>
    </format>
    <format dxfId="911">
      <pivotArea field="-2" type="button" dataOnly="0" labelOnly="1" outline="0" axis="axisValues" fieldPosition="0"/>
    </format>
    <format dxfId="910">
      <pivotArea field="-2" type="button" dataOnly="0" labelOnly="1" outline="0" axis="axisValues" fieldPosition="0"/>
    </format>
    <format dxfId="909">
      <pivotArea field="-2" type="button" dataOnly="0" labelOnly="1" outline="0" axis="axisValues" fieldPosition="0"/>
    </format>
    <format dxfId="908">
      <pivotArea field="-2" type="button" dataOnly="0" labelOnly="1" outline="0" axis="axisValues" fieldPosition="0"/>
    </format>
    <format dxfId="907">
      <pivotArea type="topRight" dataOnly="0" labelOnly="1" outline="0" fieldPosition="0"/>
    </format>
    <format dxfId="906">
      <pivotArea grandCol="1" outline="0" collapsedLevelsAreSubtotals="1" fieldPosition="0"/>
    </format>
    <format dxfId="905">
      <pivotArea dataOnly="0" labelOnly="1" grandCol="1" outline="0" fieldPosition="0"/>
    </format>
    <format dxfId="904">
      <pivotArea dataOnly="0" labelOnly="1" grandCol="1" outline="0" fieldPosition="0"/>
    </format>
    <format dxfId="903">
      <pivotArea dataOnly="0" labelOnly="1" grandCol="1" outline="0" fieldPosition="0"/>
    </format>
    <format dxfId="902">
      <pivotArea type="topRight" dataOnly="0" labelOnly="1" outline="0" fieldPosition="0"/>
    </format>
    <format dxfId="901">
      <pivotArea outline="0" collapsedLevelsAreSubtotals="1" fieldPosition="0"/>
    </format>
    <format dxfId="900">
      <pivotArea type="topRight" dataOnly="0" labelOnly="1" outline="0" fieldPosition="0"/>
    </format>
    <format dxfId="899">
      <pivotArea dataOnly="0" labelOnly="1" grandCol="1" outline="0" fieldPosition="0"/>
    </format>
    <format dxfId="898">
      <pivotArea outline="0" collapsedLevelsAreSubtotals="1" fieldPosition="0"/>
    </format>
    <format dxfId="897">
      <pivotArea type="topRight" dataOnly="0" labelOnly="1" outline="0" fieldPosition="0"/>
    </format>
    <format dxfId="896">
      <pivotArea dataOnly="0" labelOnly="1" grandCol="1" outline="0" fieldPosition="0"/>
    </format>
    <format dxfId="895">
      <pivotArea outline="0" collapsedLevelsAreSubtotals="1" fieldPosition="0"/>
    </format>
    <format dxfId="894">
      <pivotArea type="topRight" dataOnly="0" labelOnly="1" outline="0" fieldPosition="0"/>
    </format>
    <format dxfId="893">
      <pivotArea dataOnly="0" labelOnly="1" grandCol="1" outline="0" fieldPosition="0"/>
    </format>
    <format dxfId="892">
      <pivotArea dataOnly="0" fieldPosition="0">
        <references count="1">
          <reference field="17" count="1">
            <x v="1"/>
          </reference>
        </references>
      </pivotArea>
    </format>
    <format dxfId="891">
      <pivotArea dataOnly="0" fieldPosition="0">
        <references count="1">
          <reference field="17" count="1">
            <x v="2"/>
          </reference>
        </references>
      </pivotArea>
    </format>
    <format dxfId="890">
      <pivotArea outline="0" collapsedLevelsAreSubtotals="1" fieldPosition="0"/>
    </format>
    <format dxfId="889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888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887">
      <pivotArea dataOnly="0" labelOnly="1" grandRow="1" outline="0" fieldPosition="0"/>
    </format>
    <format dxfId="886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885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884">
      <pivotArea dataOnly="0" outline="0" fieldPosition="0">
        <references count="1">
          <reference field="17" count="0" defaultSubtotal="1"/>
        </references>
      </pivotArea>
    </format>
    <format dxfId="883">
      <pivotArea field="17" type="button" dataOnly="0" labelOnly="1" outline="0" axis="axisRow" fieldPosition="0"/>
    </format>
    <format dxfId="882">
      <pivotArea field="10" type="button" dataOnly="0" labelOnly="1" outline="0" axis="axisRow" fieldPosition="1"/>
    </format>
    <format dxfId="881">
      <pivotArea dataOnly="0" labelOnly="1" grandCol="1" outline="0" fieldPosition="0"/>
    </format>
    <format dxfId="880">
      <pivotArea field="17" type="button" dataOnly="0" labelOnly="1" outline="0" axis="axisRow" fieldPosition="0"/>
    </format>
    <format dxfId="879">
      <pivotArea field="10" type="button" dataOnly="0" labelOnly="1" outline="0" axis="axisRow" fieldPosition="1"/>
    </format>
    <format dxfId="878">
      <pivotArea field="12" type="button" dataOnly="0" labelOnly="1" outline="0" axis="axisRow" fieldPosition="2"/>
    </format>
    <format dxfId="877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876">
      <pivotArea dataOnly="0" labelOnly="1" grandCol="1" outline="0" fieldPosition="0"/>
    </format>
    <format dxfId="875">
      <pivotArea field="17" type="button" dataOnly="0" labelOnly="1" outline="0" axis="axisRow" fieldPosition="0"/>
    </format>
    <format dxfId="874">
      <pivotArea field="10" type="button" dataOnly="0" labelOnly="1" outline="0" axis="axisRow" fieldPosition="1"/>
    </format>
    <format dxfId="873">
      <pivotArea field="12" type="button" dataOnly="0" labelOnly="1" outline="0" axis="axisRow" fieldPosition="2"/>
    </format>
    <format dxfId="872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871">
      <pivotArea dataOnly="0" labelOnly="1" grandCol="1" outline="0" fieldPosition="0"/>
    </format>
    <format dxfId="870">
      <pivotArea field="17" type="button" dataOnly="0" labelOnly="1" outline="0" axis="axisRow" fieldPosition="0"/>
    </format>
    <format dxfId="869">
      <pivotArea field="10" type="button" dataOnly="0" labelOnly="1" outline="0" axis="axisRow" fieldPosition="1"/>
    </format>
    <format dxfId="868">
      <pivotArea field="12" type="button" dataOnly="0" labelOnly="1" outline="0" axis="axisRow" fieldPosition="2"/>
    </format>
    <format dxfId="867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866">
      <pivotArea dataOnly="0" labelOnly="1" grandCol="1" outline="0" fieldPosition="0"/>
    </format>
    <format dxfId="865">
      <pivotArea field="17" type="button" dataOnly="0" labelOnly="1" outline="0" axis="axisRow" fieldPosition="0"/>
    </format>
    <format dxfId="864">
      <pivotArea field="10" type="button" dataOnly="0" labelOnly="1" outline="0" axis="axisRow" fieldPosition="1"/>
    </format>
    <format dxfId="863">
      <pivotArea field="12" type="button" dataOnly="0" labelOnly="1" outline="0" axis="axisRow" fieldPosition="2"/>
    </format>
    <format dxfId="862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861">
      <pivotArea dataOnly="0" labelOnly="1" grandCol="1" outline="0" fieldPosition="0"/>
    </format>
    <format dxfId="860">
      <pivotArea field="17" type="button" dataOnly="0" labelOnly="1" outline="0" axis="axisRow" fieldPosition="0"/>
    </format>
    <format dxfId="859">
      <pivotArea field="10" type="button" dataOnly="0" labelOnly="1" outline="0" axis="axisRow" fieldPosition="1"/>
    </format>
    <format dxfId="858">
      <pivotArea field="12" type="button" dataOnly="0" labelOnly="1" outline="0" axis="axisRow" fieldPosition="2"/>
    </format>
    <format dxfId="857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856">
      <pivotArea dataOnly="0" labelOnly="1" grandCol="1" outline="0" fieldPosition="0"/>
    </format>
    <format dxfId="855">
      <pivotArea dataOnly="0" labelOnly="1" outline="0" fieldPosition="0">
        <references count="1">
          <reference field="11" count="1">
            <x v="8"/>
          </reference>
        </references>
      </pivotArea>
    </format>
    <format dxfId="854">
      <pivotArea dataOnly="0" labelOnly="1" outline="0" fieldPosition="0">
        <references count="1">
          <reference field="11" count="1">
            <x v="7"/>
          </reference>
        </references>
      </pivotArea>
    </format>
    <format dxfId="853">
      <pivotArea dataOnly="0" labelOnly="1" outline="0" fieldPosition="0">
        <references count="1">
          <reference field="11" count="1">
            <x v="6"/>
          </reference>
        </references>
      </pivotArea>
    </format>
    <format dxfId="852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851">
      <pivotArea dataOnly="0" labelOnly="1" outline="0" fieldPosition="0">
        <references count="1">
          <reference field="11" count="1">
            <x v="13"/>
          </reference>
        </references>
      </pivotArea>
    </format>
    <format dxfId="850">
      <pivotArea dataOnly="0" labelOnly="1" outline="0" fieldPosition="0">
        <references count="1">
          <reference field="11" count="1">
            <x v="2"/>
          </reference>
        </references>
      </pivotArea>
    </format>
    <format dxfId="849">
      <pivotArea dataOnly="0" labelOnly="1" outline="0" fieldPosition="0">
        <references count="1">
          <reference field="11" count="1">
            <x v="14"/>
          </reference>
        </references>
      </pivotArea>
    </format>
    <format dxfId="848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847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846">
      <pivotArea dataOnly="0" labelOnly="1" outline="0" fieldPosition="0">
        <references count="1">
          <reference field="11" count="1">
            <x v="15"/>
          </reference>
        </references>
      </pivotArea>
    </format>
    <format dxfId="845">
      <pivotArea dataOnly="0" labelOnly="1" outline="0" fieldPosition="0">
        <references count="1">
          <reference field="11" count="1">
            <x v="16"/>
          </reference>
        </references>
      </pivotArea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rowGrandTotals="0" itemPrintTitles="1" createdVersion="6" indent="0" compact="0" compactData="0" multipleFieldFilters="0">
  <location ref="A36:G42" firstHeaderRow="1" firstDataRow="2" firstDataCol="3" rowPageCount="2" colPageCount="1"/>
  <pivotFields count="20">
    <pivotField axis="axisPage" compact="0" outline="0" multipleItemSelectionAllowed="1" showAll="0">
      <items count="6">
        <item h="1" x="1"/>
        <item x="0"/>
        <item h="1" x="4"/>
        <item h="1"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4"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41"/>
        <item x="38"/>
        <item x="39"/>
        <item x="35"/>
        <item x="21"/>
        <item x="22"/>
        <item x="24"/>
        <item x="23"/>
        <item x="42"/>
        <item x="34"/>
        <item x="7"/>
        <item x="40"/>
        <item x="4"/>
        <item x="11"/>
        <item x="12"/>
        <item x="9"/>
        <item x="10"/>
        <item x="43"/>
      </items>
    </pivotField>
    <pivotField axis="axisCol" compact="0" outline="0" showAll="0" defaultSubtotal="0">
      <items count="15">
        <item x="0"/>
        <item x="1"/>
        <item x="8"/>
        <item x="2"/>
        <item x="13"/>
        <item x="6"/>
        <item x="9"/>
        <item x="3"/>
        <item x="4"/>
        <item x="5"/>
        <item x="7"/>
        <item x="14"/>
        <item x="10"/>
        <item x="11"/>
        <item x="12"/>
      </items>
    </pivotField>
    <pivotField axis="axisRow" compact="0" outline="0" showAll="0" sortType="ascending" defaultSubtotal="0">
      <items count="44">
        <item x="20"/>
        <item x="19"/>
        <item x="1"/>
        <item x="3"/>
        <item x="7"/>
        <item x="5"/>
        <item x="39"/>
        <item x="28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32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0"/>
        <item x="38"/>
        <item x="18"/>
        <item x="42"/>
        <item x="23"/>
        <item x="24"/>
        <item x="34"/>
        <item x="17"/>
        <item x="26"/>
        <item x="41"/>
        <item x="43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6">
        <item h="1" x="0"/>
        <item h="1" x="1"/>
        <item h="1" x="4"/>
        <item x="2"/>
        <item h="1" x="3"/>
        <item t="default"/>
      </items>
    </pivotField>
    <pivotField compact="0" outline="0" showAll="0"/>
    <pivotField axis="axisRow" compact="0" outline="0" multipleItemSelectionAllowed="1" showAll="0">
      <items count="6">
        <item x="0"/>
        <item h="1" x="2"/>
        <item h="1" x="1"/>
        <item h="1" x="4"/>
        <item h="1"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5">
    <i>
      <x/>
      <x/>
      <x v="14"/>
    </i>
    <i r="1">
      <x v="1"/>
      <x v="11"/>
    </i>
    <i r="1">
      <x v="2"/>
      <x v="8"/>
    </i>
    <i r="1">
      <x v="3"/>
      <x v="26"/>
    </i>
    <i t="default">
      <x/>
    </i>
  </rowItems>
  <colFields count="1">
    <field x="11"/>
  </colFields>
  <colItems count="4">
    <i>
      <x v="1"/>
    </i>
    <i>
      <x v="3"/>
    </i>
    <i>
      <x v="6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75">
    <format dxfId="988">
      <pivotArea dataOnly="0" grandRow="1" fieldPosition="0"/>
    </format>
    <format dxfId="987">
      <pivotArea type="topRight" dataOnly="0" labelOnly="1" outline="0" fieldPosition="0"/>
    </format>
    <format dxfId="986">
      <pivotArea field="-2" type="button" dataOnly="0" labelOnly="1" outline="0" axis="axisValues" fieldPosition="0"/>
    </format>
    <format dxfId="985">
      <pivotArea field="-2" type="button" dataOnly="0" labelOnly="1" outline="0" axis="axisValues" fieldPosition="0"/>
    </format>
    <format dxfId="984">
      <pivotArea field="-2" type="button" dataOnly="0" labelOnly="1" outline="0" axis="axisValues" fieldPosition="0"/>
    </format>
    <format dxfId="983">
      <pivotArea field="-2" type="button" dataOnly="0" labelOnly="1" outline="0" axis="axisValues" fieldPosition="0"/>
    </format>
    <format dxfId="982">
      <pivotArea type="topRight" dataOnly="0" labelOnly="1" outline="0" fieldPosition="0"/>
    </format>
    <format dxfId="981">
      <pivotArea grandCol="1" outline="0" collapsedLevelsAreSubtotals="1" fieldPosition="0"/>
    </format>
    <format dxfId="980">
      <pivotArea dataOnly="0" labelOnly="1" grandCol="1" outline="0" fieldPosition="0"/>
    </format>
    <format dxfId="979">
      <pivotArea dataOnly="0" labelOnly="1" grandCol="1" outline="0" fieldPosition="0"/>
    </format>
    <format dxfId="978">
      <pivotArea dataOnly="0" labelOnly="1" grandCol="1" outline="0" fieldPosition="0"/>
    </format>
    <format dxfId="977">
      <pivotArea type="topRight" dataOnly="0" labelOnly="1" outline="0" fieldPosition="0"/>
    </format>
    <format dxfId="976">
      <pivotArea outline="0" collapsedLevelsAreSubtotals="1" fieldPosition="0"/>
    </format>
    <format dxfId="975">
      <pivotArea type="topRight" dataOnly="0" labelOnly="1" outline="0" fieldPosition="0"/>
    </format>
    <format dxfId="974">
      <pivotArea dataOnly="0" labelOnly="1" grandCol="1" outline="0" fieldPosition="0"/>
    </format>
    <format dxfId="973">
      <pivotArea outline="0" collapsedLevelsAreSubtotals="1" fieldPosition="0"/>
    </format>
    <format dxfId="972">
      <pivotArea type="topRight" dataOnly="0" labelOnly="1" outline="0" fieldPosition="0"/>
    </format>
    <format dxfId="971">
      <pivotArea dataOnly="0" labelOnly="1" grandCol="1" outline="0" fieldPosition="0"/>
    </format>
    <format dxfId="970">
      <pivotArea outline="0" collapsedLevelsAreSubtotals="1" fieldPosition="0"/>
    </format>
    <format dxfId="969">
      <pivotArea type="topRight" dataOnly="0" labelOnly="1" outline="0" fieldPosition="0"/>
    </format>
    <format dxfId="968">
      <pivotArea dataOnly="0" labelOnly="1" grandCol="1" outline="0" fieldPosition="0"/>
    </format>
    <format dxfId="967">
      <pivotArea dataOnly="0" fieldPosition="0">
        <references count="1">
          <reference field="17" count="1">
            <x v="1"/>
          </reference>
        </references>
      </pivotArea>
    </format>
    <format dxfId="966">
      <pivotArea dataOnly="0" fieldPosition="0">
        <references count="1">
          <reference field="17" count="1">
            <x v="2"/>
          </reference>
        </references>
      </pivotArea>
    </format>
    <format dxfId="965">
      <pivotArea outline="0" collapsedLevelsAreSubtotals="1" fieldPosition="0"/>
    </format>
    <format dxfId="964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963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962">
      <pivotArea dataOnly="0" labelOnly="1" grandRow="1" outline="0" fieldPosition="0"/>
    </format>
    <format dxfId="961">
      <pivotArea dataOnly="0" labelOnly="1" outline="0" fieldPosition="0">
        <references count="2">
          <reference field="10" count="4">
            <x v="32"/>
            <x v="35"/>
            <x v="36"/>
            <x v="38"/>
          </reference>
          <reference field="17" count="1" selected="0">
            <x v="1"/>
          </reference>
        </references>
      </pivotArea>
    </format>
    <format dxfId="960">
      <pivotArea dataOnly="0" labelOnly="1" outline="0" fieldPosition="0">
        <references count="2">
          <reference field="10" count="13">
            <x v="6"/>
            <x v="7"/>
            <x v="9"/>
            <x v="10"/>
            <x v="11"/>
            <x v="13"/>
            <x v="16"/>
            <x v="19"/>
            <x v="20"/>
            <x v="21"/>
            <x v="22"/>
            <x v="24"/>
            <x v="26"/>
          </reference>
          <reference field="17" count="1" selected="0">
            <x v="2"/>
          </reference>
        </references>
      </pivotArea>
    </format>
    <format dxfId="959">
      <pivotArea dataOnly="0" outline="0" fieldPosition="0">
        <references count="1">
          <reference field="17" count="0" defaultSubtotal="1"/>
        </references>
      </pivotArea>
    </format>
    <format dxfId="958">
      <pivotArea field="17" type="button" dataOnly="0" labelOnly="1" outline="0" axis="axisRow" fieldPosition="0"/>
    </format>
    <format dxfId="957">
      <pivotArea field="10" type="button" dataOnly="0" labelOnly="1" outline="0" axis="axisRow" fieldPosition="1"/>
    </format>
    <format dxfId="956">
      <pivotArea dataOnly="0" labelOnly="1" grandCol="1" outline="0" fieldPosition="0"/>
    </format>
    <format dxfId="955">
      <pivotArea field="17" type="button" dataOnly="0" labelOnly="1" outline="0" axis="axisRow" fieldPosition="0"/>
    </format>
    <format dxfId="954">
      <pivotArea field="10" type="button" dataOnly="0" labelOnly="1" outline="0" axis="axisRow" fieldPosition="1"/>
    </format>
    <format dxfId="953">
      <pivotArea field="12" type="button" dataOnly="0" labelOnly="1" outline="0" axis="axisRow" fieldPosition="2"/>
    </format>
    <format dxfId="952">
      <pivotArea dataOnly="0" labelOnly="1" outline="0" fieldPosition="0">
        <references count="1">
          <reference field="11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951">
      <pivotArea dataOnly="0" labelOnly="1" grandCol="1" outline="0" fieldPosition="0"/>
    </format>
    <format dxfId="950">
      <pivotArea field="17" type="button" dataOnly="0" labelOnly="1" outline="0" axis="axisRow" fieldPosition="0"/>
    </format>
    <format dxfId="949">
      <pivotArea field="10" type="button" dataOnly="0" labelOnly="1" outline="0" axis="axisRow" fieldPosition="1"/>
    </format>
    <format dxfId="948">
      <pivotArea field="12" type="button" dataOnly="0" labelOnly="1" outline="0" axis="axisRow" fieldPosition="2"/>
    </format>
    <format dxfId="947">
      <pivotArea dataOnly="0" labelOnly="1" outline="0" fieldPosition="0">
        <references count="1">
          <reference field="11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946">
      <pivotArea dataOnly="0" labelOnly="1" grandCol="1" outline="0" fieldPosition="0"/>
    </format>
    <format dxfId="945">
      <pivotArea field="17" type="button" dataOnly="0" labelOnly="1" outline="0" axis="axisRow" fieldPosition="0"/>
    </format>
    <format dxfId="944">
      <pivotArea field="10" type="button" dataOnly="0" labelOnly="1" outline="0" axis="axisRow" fieldPosition="1"/>
    </format>
    <format dxfId="943">
      <pivotArea field="12" type="button" dataOnly="0" labelOnly="1" outline="0" axis="axisRow" fieldPosition="2"/>
    </format>
    <format dxfId="942">
      <pivotArea dataOnly="0" labelOnly="1" outline="0" fieldPosition="0">
        <references count="1">
          <reference field="11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941">
      <pivotArea dataOnly="0" labelOnly="1" grandCol="1" outline="0" fieldPosition="0"/>
    </format>
    <format dxfId="940">
      <pivotArea field="17" type="button" dataOnly="0" labelOnly="1" outline="0" axis="axisRow" fieldPosition="0"/>
    </format>
    <format dxfId="939">
      <pivotArea field="10" type="button" dataOnly="0" labelOnly="1" outline="0" axis="axisRow" fieldPosition="1"/>
    </format>
    <format dxfId="938">
      <pivotArea field="12" type="button" dataOnly="0" labelOnly="1" outline="0" axis="axisRow" fieldPosition="2"/>
    </format>
    <format dxfId="937">
      <pivotArea dataOnly="0" labelOnly="1" outline="0" fieldPosition="0">
        <references count="1">
          <reference field="11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936">
      <pivotArea dataOnly="0" labelOnly="1" grandCol="1" outline="0" fieldPosition="0"/>
    </format>
    <format dxfId="935">
      <pivotArea field="17" type="button" dataOnly="0" labelOnly="1" outline="0" axis="axisRow" fieldPosition="0"/>
    </format>
    <format dxfId="934">
      <pivotArea field="10" type="button" dataOnly="0" labelOnly="1" outline="0" axis="axisRow" fieldPosition="1"/>
    </format>
    <format dxfId="933">
      <pivotArea field="12" type="button" dataOnly="0" labelOnly="1" outline="0" axis="axisRow" fieldPosition="2"/>
    </format>
    <format dxfId="932">
      <pivotArea dataOnly="0" labelOnly="1" outline="0" fieldPosition="0">
        <references count="1">
          <reference field="11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931">
      <pivotArea dataOnly="0" labelOnly="1" grandCol="1" outline="0" fieldPosition="0"/>
    </format>
    <format dxfId="930">
      <pivotArea dataOnly="0" labelOnly="1" outline="0" fieldPosition="0">
        <references count="1">
          <reference field="11" count="1">
            <x v="9"/>
          </reference>
        </references>
      </pivotArea>
    </format>
    <format dxfId="929">
      <pivotArea dataOnly="0" labelOnly="1" outline="0" fieldPosition="0">
        <references count="1">
          <reference field="11" count="1">
            <x v="8"/>
          </reference>
        </references>
      </pivotArea>
    </format>
    <format dxfId="928">
      <pivotArea dataOnly="0" labelOnly="1" outline="0" fieldPosition="0">
        <references count="1">
          <reference field="11" count="1">
            <x v="7"/>
          </reference>
        </references>
      </pivotArea>
    </format>
    <format dxfId="927">
      <pivotArea dataOnly="0" labelOnly="1" outline="0" fieldPosition="0">
        <references count="1">
          <reference field="11" count="3">
            <x v="7"/>
            <x v="8"/>
            <x v="9"/>
          </reference>
        </references>
      </pivotArea>
    </format>
    <format dxfId="926">
      <pivotArea dataOnly="0" labelOnly="1" outline="0" fieldPosition="0">
        <references count="1">
          <reference field="11" count="1">
            <x v="13"/>
          </reference>
        </references>
      </pivotArea>
    </format>
    <format dxfId="925">
      <pivotArea dataOnly="0" labelOnly="1" outline="0" fieldPosition="0">
        <references count="1">
          <reference field="11" count="1">
            <x v="4"/>
          </reference>
        </references>
      </pivotArea>
    </format>
    <format dxfId="924">
      <pivotArea dataOnly="0" labelOnly="1" outline="0" fieldPosition="0">
        <references count="1">
          <reference field="11" count="1">
            <x v="14"/>
          </reference>
        </references>
      </pivotArea>
    </format>
    <format dxfId="923">
      <pivotArea field="17" type="button" dataOnly="0" labelOnly="1" outline="0" axis="axisRow" fieldPosition="0"/>
    </format>
    <format dxfId="922">
      <pivotArea field="10" type="button" dataOnly="0" labelOnly="1" outline="0" axis="axisRow" fieldPosition="1"/>
    </format>
    <format dxfId="921">
      <pivotArea field="12" type="button" dataOnly="0" labelOnly="1" outline="0" axis="axisRow" fieldPosition="2"/>
    </format>
    <format dxfId="920">
      <pivotArea dataOnly="0" labelOnly="1" outline="0" fieldPosition="0">
        <references count="1">
          <reference field="11" count="2">
            <x v="0"/>
            <x v="1"/>
          </reference>
        </references>
      </pivotArea>
    </format>
    <format dxfId="919">
      <pivotArea dataOnly="0" labelOnly="1" grandCol="1" outline="0" fieldPosition="0"/>
    </format>
    <format dxfId="918">
      <pivotArea field="17" type="button" dataOnly="0" labelOnly="1" outline="0" axis="axisRow" fieldPosition="0"/>
    </format>
    <format dxfId="917">
      <pivotArea field="10" type="button" dataOnly="0" labelOnly="1" outline="0" axis="axisRow" fieldPosition="1"/>
    </format>
    <format dxfId="916">
      <pivotArea field="12" type="button" dataOnly="0" labelOnly="1" outline="0" axis="axisRow" fieldPosition="2"/>
    </format>
    <format dxfId="915">
      <pivotArea dataOnly="0" labelOnly="1" outline="0" fieldPosition="0">
        <references count="1">
          <reference field="11" count="2">
            <x v="0"/>
            <x v="1"/>
          </reference>
        </references>
      </pivotArea>
    </format>
    <format dxfId="914">
      <pivotArea dataOnly="0" labelOnly="1" grandCol="1" outline="0" fieldPosition="0"/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70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A6:G31" firstHeaderRow="1" firstDataRow="2" firstDataCol="3" rowPageCount="2" colPageCount="1"/>
  <pivotFields count="20">
    <pivotField axis="axisPage" compact="0" outline="0" multipleItemSelectionAllowed="1" showAll="0">
      <items count="10">
        <item x="1"/>
        <item h="1" x="0"/>
        <item h="1" x="8"/>
        <item h="1" x="2"/>
        <item h="1" x="3"/>
        <item h="1" x="4"/>
        <item h="1" x="5"/>
        <item h="1" x="6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Col" compact="0" outline="0" showAll="0" defaultSubtotal="0">
      <items count="18">
        <item x="1"/>
        <item x="8"/>
        <item x="2"/>
        <item x="13"/>
        <item x="6"/>
        <item x="9"/>
        <item x="3"/>
        <item x="4"/>
        <item x="5"/>
        <item x="7"/>
        <item x="16"/>
        <item x="0"/>
        <item x="10"/>
        <item x="11"/>
        <item x="12"/>
        <item n="EAU POTABLE à 25%" x="14"/>
        <item x="15"/>
        <item m="1" x="17"/>
      </items>
    </pivotField>
    <pivotField axis="axisRow" compact="0" outline="0" showAll="0" sortType="ascending" defaultSubtotal="0">
      <items count="50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x="49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8">
        <item h="1" x="0"/>
        <item h="1" x="1"/>
        <item h="1" x="6"/>
        <item h="1" x="2"/>
        <item h="1" x="3"/>
        <item h="1" x="4"/>
        <item x="5"/>
        <item t="default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24">
    <i>
      <x v="1"/>
      <x v="34"/>
      <x v="41"/>
    </i>
    <i r="1">
      <x v="35"/>
      <x v="43"/>
    </i>
    <i r="1">
      <x v="36"/>
      <x v="40"/>
    </i>
    <i r="1">
      <x v="37"/>
      <x v="46"/>
    </i>
    <i r="1">
      <x v="38"/>
      <x v="4"/>
    </i>
    <i r="1">
      <x v="40"/>
      <x v="37"/>
    </i>
    <i r="1">
      <x v="41"/>
      <x v="36"/>
    </i>
    <i r="1">
      <x v="42"/>
      <x v="19"/>
    </i>
    <i r="1">
      <x v="43"/>
      <x v="8"/>
    </i>
    <i r="1">
      <x v="47"/>
      <x v="32"/>
    </i>
    <i t="default">
      <x v="1"/>
    </i>
    <i>
      <x v="2"/>
      <x v="7"/>
      <x v="33"/>
    </i>
    <i r="1">
      <x v="8"/>
      <x v="26"/>
    </i>
    <i r="1">
      <x v="12"/>
      <x v="39"/>
    </i>
    <i r="1">
      <x v="14"/>
      <x v="5"/>
    </i>
    <i r="1">
      <x v="16"/>
      <x v="22"/>
    </i>
    <i r="1">
      <x v="17"/>
      <x v="14"/>
    </i>
    <i r="1">
      <x v="19"/>
      <x v="16"/>
    </i>
    <i r="1">
      <x v="20"/>
      <x v="27"/>
    </i>
    <i r="1">
      <x v="21"/>
      <x v="28"/>
    </i>
    <i r="1">
      <x v="25"/>
      <x v="2"/>
    </i>
    <i r="1">
      <x v="44"/>
      <x v="31"/>
    </i>
    <i t="default">
      <x v="2"/>
    </i>
    <i t="grand">
      <x/>
    </i>
  </rowItems>
  <colFields count="1">
    <field x="11"/>
  </colFields>
  <colItems count="4">
    <i>
      <x/>
    </i>
    <i>
      <x v="3"/>
    </i>
    <i>
      <x v="16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77">
    <format dxfId="212">
      <pivotArea dataOnly="0" grandRow="1" fieldPosition="0"/>
    </format>
    <format dxfId="213">
      <pivotArea type="topRight" dataOnly="0" labelOnly="1" outline="0" fieldPosition="0"/>
    </format>
    <format dxfId="214">
      <pivotArea field="-2" type="button" dataOnly="0" labelOnly="1" outline="0" axis="axisValues" fieldPosition="0"/>
    </format>
    <format dxfId="215">
      <pivotArea field="-2" type="button" dataOnly="0" labelOnly="1" outline="0" axis="axisValues" fieldPosition="0"/>
    </format>
    <format dxfId="216">
      <pivotArea field="-2" type="button" dataOnly="0" labelOnly="1" outline="0" axis="axisValues" fieldPosition="0"/>
    </format>
    <format dxfId="217">
      <pivotArea field="-2" type="button" dataOnly="0" labelOnly="1" outline="0" axis="axisValues" fieldPosition="0"/>
    </format>
    <format dxfId="218">
      <pivotArea type="topRight" dataOnly="0" labelOnly="1" outline="0" fieldPosition="0"/>
    </format>
    <format dxfId="219">
      <pivotArea grandCol="1" outline="0" collapsedLevelsAreSubtotals="1" fieldPosition="0"/>
    </format>
    <format dxfId="220">
      <pivotArea dataOnly="0" labelOnly="1" grandCol="1" outline="0" fieldPosition="0"/>
    </format>
    <format dxfId="221">
      <pivotArea dataOnly="0" labelOnly="1" grandCol="1" outline="0" fieldPosition="0"/>
    </format>
    <format dxfId="222">
      <pivotArea dataOnly="0" labelOnly="1" grandCol="1" outline="0" fieldPosition="0"/>
    </format>
    <format dxfId="223">
      <pivotArea type="topRight" dataOnly="0" labelOnly="1" outline="0" fieldPosition="0"/>
    </format>
    <format dxfId="224">
      <pivotArea outline="0" collapsedLevelsAreSubtotals="1" fieldPosition="0"/>
    </format>
    <format dxfId="225">
      <pivotArea type="topRight" dataOnly="0" labelOnly="1" outline="0" fieldPosition="0"/>
    </format>
    <format dxfId="226">
      <pivotArea dataOnly="0" labelOnly="1" grandCol="1" outline="0" fieldPosition="0"/>
    </format>
    <format dxfId="227">
      <pivotArea outline="0" collapsedLevelsAreSubtotals="1" fieldPosition="0"/>
    </format>
    <format dxfId="228">
      <pivotArea type="topRight" dataOnly="0" labelOnly="1" outline="0" fieldPosition="0"/>
    </format>
    <format dxfId="229">
      <pivotArea dataOnly="0" labelOnly="1" grandCol="1" outline="0" fieldPosition="0"/>
    </format>
    <format dxfId="230">
      <pivotArea outline="0" collapsedLevelsAreSubtotals="1" fieldPosition="0"/>
    </format>
    <format dxfId="231">
      <pivotArea type="topRight" dataOnly="0" labelOnly="1" outline="0" fieldPosition="0"/>
    </format>
    <format dxfId="232">
      <pivotArea dataOnly="0" labelOnly="1" grandCol="1" outline="0" fieldPosition="0"/>
    </format>
    <format dxfId="233">
      <pivotArea dataOnly="0" fieldPosition="0">
        <references count="1">
          <reference field="17" count="1">
            <x v="1"/>
          </reference>
        </references>
      </pivotArea>
    </format>
    <format dxfId="234">
      <pivotArea dataOnly="0" fieldPosition="0">
        <references count="1">
          <reference field="17" count="1">
            <x v="2"/>
          </reference>
        </references>
      </pivotArea>
    </format>
    <format dxfId="235">
      <pivotArea outline="0" collapsedLevelsAreSubtotals="1" fieldPosition="0"/>
    </format>
    <format dxfId="236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237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238">
      <pivotArea dataOnly="0" labelOnly="1" grandRow="1" outline="0" fieldPosition="0"/>
    </format>
    <format dxfId="239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240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241">
      <pivotArea dataOnly="0" outline="0" fieldPosition="0">
        <references count="1">
          <reference field="17" count="0" defaultSubtotal="1"/>
        </references>
      </pivotArea>
    </format>
    <format dxfId="242">
      <pivotArea field="17" type="button" dataOnly="0" labelOnly="1" outline="0" axis="axisRow" fieldPosition="0"/>
    </format>
    <format dxfId="243">
      <pivotArea field="10" type="button" dataOnly="0" labelOnly="1" outline="0" axis="axisRow" fieldPosition="1"/>
    </format>
    <format dxfId="244">
      <pivotArea dataOnly="0" labelOnly="1" grandCol="1" outline="0" fieldPosition="0"/>
    </format>
    <format dxfId="245">
      <pivotArea field="17" type="button" dataOnly="0" labelOnly="1" outline="0" axis="axisRow" fieldPosition="0"/>
    </format>
    <format dxfId="246">
      <pivotArea field="10" type="button" dataOnly="0" labelOnly="1" outline="0" axis="axisRow" fieldPosition="1"/>
    </format>
    <format dxfId="247">
      <pivotArea field="12" type="button" dataOnly="0" labelOnly="1" outline="0" axis="axisRow" fieldPosition="2"/>
    </format>
    <format dxfId="248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49">
      <pivotArea dataOnly="0" labelOnly="1" grandCol="1" outline="0" fieldPosition="0"/>
    </format>
    <format dxfId="250">
      <pivotArea field="17" type="button" dataOnly="0" labelOnly="1" outline="0" axis="axisRow" fieldPosition="0"/>
    </format>
    <format dxfId="251">
      <pivotArea field="10" type="button" dataOnly="0" labelOnly="1" outline="0" axis="axisRow" fieldPosition="1"/>
    </format>
    <format dxfId="252">
      <pivotArea field="12" type="button" dataOnly="0" labelOnly="1" outline="0" axis="axisRow" fieldPosition="2"/>
    </format>
    <format dxfId="253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54">
      <pivotArea dataOnly="0" labelOnly="1" grandCol="1" outline="0" fieldPosition="0"/>
    </format>
    <format dxfId="255">
      <pivotArea field="17" type="button" dataOnly="0" labelOnly="1" outline="0" axis="axisRow" fieldPosition="0"/>
    </format>
    <format dxfId="256">
      <pivotArea field="10" type="button" dataOnly="0" labelOnly="1" outline="0" axis="axisRow" fieldPosition="1"/>
    </format>
    <format dxfId="257">
      <pivotArea field="12" type="button" dataOnly="0" labelOnly="1" outline="0" axis="axisRow" fieldPosition="2"/>
    </format>
    <format dxfId="258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59">
      <pivotArea dataOnly="0" labelOnly="1" grandCol="1" outline="0" fieldPosition="0"/>
    </format>
    <format dxfId="260">
      <pivotArea field="17" type="button" dataOnly="0" labelOnly="1" outline="0" axis="axisRow" fieldPosition="0"/>
    </format>
    <format dxfId="261">
      <pivotArea field="10" type="button" dataOnly="0" labelOnly="1" outline="0" axis="axisRow" fieldPosition="1"/>
    </format>
    <format dxfId="262">
      <pivotArea field="12" type="button" dataOnly="0" labelOnly="1" outline="0" axis="axisRow" fieldPosition="2"/>
    </format>
    <format dxfId="263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64">
      <pivotArea dataOnly="0" labelOnly="1" grandCol="1" outline="0" fieldPosition="0"/>
    </format>
    <format dxfId="265">
      <pivotArea field="17" type="button" dataOnly="0" labelOnly="1" outline="0" axis="axisRow" fieldPosition="0"/>
    </format>
    <format dxfId="266">
      <pivotArea field="10" type="button" dataOnly="0" labelOnly="1" outline="0" axis="axisRow" fieldPosition="1"/>
    </format>
    <format dxfId="267">
      <pivotArea field="12" type="button" dataOnly="0" labelOnly="1" outline="0" axis="axisRow" fieldPosition="2"/>
    </format>
    <format dxfId="268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69">
      <pivotArea dataOnly="0" labelOnly="1" grandCol="1" outline="0" fieldPosition="0"/>
    </format>
    <format dxfId="270">
      <pivotArea dataOnly="0" labelOnly="1" outline="0" fieldPosition="0">
        <references count="1">
          <reference field="11" count="1">
            <x v="8"/>
          </reference>
        </references>
      </pivotArea>
    </format>
    <format dxfId="271">
      <pivotArea dataOnly="0" labelOnly="1" outline="0" fieldPosition="0">
        <references count="1">
          <reference field="11" count="1">
            <x v="7"/>
          </reference>
        </references>
      </pivotArea>
    </format>
    <format dxfId="272">
      <pivotArea dataOnly="0" labelOnly="1" outline="0" fieldPosition="0">
        <references count="1">
          <reference field="11" count="1">
            <x v="6"/>
          </reference>
        </references>
      </pivotArea>
    </format>
    <format dxfId="273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274">
      <pivotArea dataOnly="0" labelOnly="1" outline="0" fieldPosition="0">
        <references count="1">
          <reference field="11" count="1">
            <x v="13"/>
          </reference>
        </references>
      </pivotArea>
    </format>
    <format dxfId="275">
      <pivotArea dataOnly="0" labelOnly="1" outline="0" fieldPosition="0">
        <references count="1">
          <reference field="11" count="1">
            <x v="3"/>
          </reference>
        </references>
      </pivotArea>
    </format>
    <format dxfId="276">
      <pivotArea dataOnly="0" labelOnly="1" outline="0" fieldPosition="0">
        <references count="1">
          <reference field="11" count="1">
            <x v="14"/>
          </reference>
        </references>
      </pivotArea>
    </format>
    <format dxfId="277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278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279">
      <pivotArea dataOnly="0" labelOnly="1" outline="0" fieldPosition="0">
        <references count="1">
          <reference field="11" count="1">
            <x v="15"/>
          </reference>
        </references>
      </pivotArea>
    </format>
    <format dxfId="280">
      <pivotArea outline="0" collapsedLevelsAreSubtotals="1" fieldPosition="0">
        <references count="4">
          <reference field="10" count="1" selected="0">
            <x v="42"/>
          </reference>
          <reference field="11" count="1" selected="0">
            <x v="15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281">
      <pivotArea outline="0" collapsedLevelsAreSubtotals="1" fieldPosition="0">
        <references count="4">
          <reference field="10" count="1" selected="0">
            <x v="42"/>
          </reference>
          <reference field="11" count="1" selected="0">
            <x v="15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282">
      <pivotArea outline="0" collapsedLevelsAreSubtotals="1" fieldPosition="0">
        <references count="4">
          <reference field="10" count="1" selected="0">
            <x v="41"/>
          </reference>
          <reference field="11" count="1" selected="0">
            <x v="15"/>
          </reference>
          <reference field="12" count="1" selected="0">
            <x v="36"/>
          </reference>
          <reference field="17" count="1" selected="0">
            <x v="1"/>
          </reference>
        </references>
      </pivotArea>
    </format>
    <format dxfId="283">
      <pivotArea outline="0" collapsedLevelsAreSubtotals="1" fieldPosition="0">
        <references count="4">
          <reference field="10" count="1" selected="0">
            <x v="41"/>
          </reference>
          <reference field="11" count="1" selected="0">
            <x v="15"/>
          </reference>
          <reference field="12" count="1" selected="0">
            <x v="36"/>
          </reference>
          <reference field="17" count="1" selected="0">
            <x v="1"/>
          </reference>
        </references>
      </pivotArea>
    </format>
    <format dxfId="284">
      <pivotArea outline="0" fieldPosition="0">
        <references count="1">
          <reference field="4294967294" count="1">
            <x v="0"/>
          </reference>
        </references>
      </pivotArea>
    </format>
    <format dxfId="285">
      <pivotArea outline="0" fieldPosition="0">
        <references count="1">
          <reference field="4294967294" count="1">
            <x v="0"/>
          </reference>
        </references>
      </pivotArea>
    </format>
    <format dxfId="286">
      <pivotArea outline="0" collapsedLevelsAreSubtotals="1" fieldPosition="0"/>
    </format>
    <format dxfId="287">
      <pivotArea outline="0" collapsedLevelsAreSubtotals="1" fieldPosition="0"/>
    </format>
    <format dxfId="211">
      <pivotArea dataOnly="0" labelOnly="1" outline="0" fieldPosition="0">
        <references count="1">
          <reference field="11" count="1">
            <x v="16"/>
          </reference>
        </references>
      </pivotArea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Q6:W33" firstHeaderRow="1" firstDataRow="2" firstDataCol="3" rowPageCount="2" colPageCount="1"/>
  <pivotFields count="20">
    <pivotField axis="axisPage" compact="0" outline="0" multipleItemSelectionAllowed="1" showAll="0">
      <items count="9">
        <item h="1" x="1"/>
        <item h="1" x="0"/>
        <item h="1" x="7"/>
        <item h="1" x="2"/>
        <item h="1" x="3"/>
        <item h="1" x="4"/>
        <item h="1"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Col" compact="0" outline="0" showAll="0" defaultSubtotal="0">
      <items count="18">
        <item x="1"/>
        <item x="8"/>
        <item x="2"/>
        <item x="13"/>
        <item x="6"/>
        <item x="9"/>
        <item x="3"/>
        <item x="4"/>
        <item x="5"/>
        <item x="7"/>
        <item x="16"/>
        <item x="0"/>
        <item x="10"/>
        <item x="11"/>
        <item x="12"/>
        <item n="EAU POTABLE à 25%" x="14"/>
        <item n="EAU POTABLE à 25%2" m="1" x="17"/>
        <item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m="1" x="50"/>
        <item x="49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7">
        <item h="1" x="0"/>
        <item h="1" x="1"/>
        <item h="1" x="5"/>
        <item h="1" x="2"/>
        <item h="1" x="3"/>
        <item x="4"/>
        <item t="default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26">
    <i>
      <x v="1"/>
      <x v="32"/>
      <x v="45"/>
    </i>
    <i r="1">
      <x v="33"/>
      <x v="42"/>
    </i>
    <i r="1">
      <x v="34"/>
      <x v="41"/>
    </i>
    <i r="1">
      <x v="35"/>
      <x v="43"/>
    </i>
    <i r="1">
      <x v="36"/>
      <x v="40"/>
    </i>
    <i r="1">
      <x v="37"/>
      <x v="44"/>
    </i>
    <i r="1">
      <x v="38"/>
      <x v="4"/>
    </i>
    <i r="1">
      <x v="40"/>
      <x v="37"/>
    </i>
    <i r="1">
      <x v="41"/>
      <x v="36"/>
    </i>
    <i r="1">
      <x v="42"/>
      <x v="19"/>
    </i>
    <i r="1">
      <x v="43"/>
      <x v="8"/>
    </i>
    <i r="1">
      <x v="47"/>
      <x v="32"/>
    </i>
    <i t="default">
      <x v="1"/>
    </i>
    <i>
      <x v="2"/>
      <x v="7"/>
      <x v="33"/>
    </i>
    <i r="1">
      <x v="8"/>
      <x v="26"/>
    </i>
    <i r="1">
      <x v="12"/>
      <x v="39"/>
    </i>
    <i r="1">
      <x v="14"/>
      <x v="5"/>
    </i>
    <i r="1">
      <x v="16"/>
      <x v="22"/>
    </i>
    <i r="1">
      <x v="17"/>
      <x v="14"/>
    </i>
    <i r="1">
      <x v="19"/>
      <x v="16"/>
    </i>
    <i r="1">
      <x v="20"/>
      <x v="27"/>
    </i>
    <i r="1">
      <x v="21"/>
      <x v="28"/>
    </i>
    <i r="1">
      <x v="25"/>
      <x v="2"/>
    </i>
    <i r="1">
      <x v="44"/>
      <x v="31"/>
    </i>
    <i t="default">
      <x v="2"/>
    </i>
    <i t="grand">
      <x/>
    </i>
  </rowItems>
  <colFields count="1">
    <field x="11"/>
  </colFields>
  <colItems count="4">
    <i>
      <x/>
    </i>
    <i>
      <x v="3"/>
    </i>
    <i>
      <x v="15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76">
    <format dxfId="765">
      <pivotArea dataOnly="0" grandRow="1" fieldPosition="0"/>
    </format>
    <format dxfId="764">
      <pivotArea type="topRight" dataOnly="0" labelOnly="1" outline="0" fieldPosition="0"/>
    </format>
    <format dxfId="763">
      <pivotArea field="-2" type="button" dataOnly="0" labelOnly="1" outline="0" axis="axisValues" fieldPosition="0"/>
    </format>
    <format dxfId="762">
      <pivotArea field="-2" type="button" dataOnly="0" labelOnly="1" outline="0" axis="axisValues" fieldPosition="0"/>
    </format>
    <format dxfId="761">
      <pivotArea field="-2" type="button" dataOnly="0" labelOnly="1" outline="0" axis="axisValues" fieldPosition="0"/>
    </format>
    <format dxfId="760">
      <pivotArea field="-2" type="button" dataOnly="0" labelOnly="1" outline="0" axis="axisValues" fieldPosition="0"/>
    </format>
    <format dxfId="759">
      <pivotArea type="topRight" dataOnly="0" labelOnly="1" outline="0" fieldPosition="0"/>
    </format>
    <format dxfId="758">
      <pivotArea grandCol="1" outline="0" collapsedLevelsAreSubtotals="1" fieldPosition="0"/>
    </format>
    <format dxfId="757">
      <pivotArea dataOnly="0" labelOnly="1" grandCol="1" outline="0" fieldPosition="0"/>
    </format>
    <format dxfId="756">
      <pivotArea dataOnly="0" labelOnly="1" grandCol="1" outline="0" fieldPosition="0"/>
    </format>
    <format dxfId="755">
      <pivotArea dataOnly="0" labelOnly="1" grandCol="1" outline="0" fieldPosition="0"/>
    </format>
    <format dxfId="754">
      <pivotArea type="topRight" dataOnly="0" labelOnly="1" outline="0" fieldPosition="0"/>
    </format>
    <format dxfId="753">
      <pivotArea outline="0" collapsedLevelsAreSubtotals="1" fieldPosition="0"/>
    </format>
    <format dxfId="752">
      <pivotArea type="topRight" dataOnly="0" labelOnly="1" outline="0" fieldPosition="0"/>
    </format>
    <format dxfId="751">
      <pivotArea dataOnly="0" labelOnly="1" grandCol="1" outline="0" fieldPosition="0"/>
    </format>
    <format dxfId="750">
      <pivotArea outline="0" collapsedLevelsAreSubtotals="1" fieldPosition="0"/>
    </format>
    <format dxfId="749">
      <pivotArea type="topRight" dataOnly="0" labelOnly="1" outline="0" fieldPosition="0"/>
    </format>
    <format dxfId="748">
      <pivotArea dataOnly="0" labelOnly="1" grandCol="1" outline="0" fieldPosition="0"/>
    </format>
    <format dxfId="747">
      <pivotArea outline="0" collapsedLevelsAreSubtotals="1" fieldPosition="0"/>
    </format>
    <format dxfId="746">
      <pivotArea type="topRight" dataOnly="0" labelOnly="1" outline="0" fieldPosition="0"/>
    </format>
    <format dxfId="745">
      <pivotArea dataOnly="0" labelOnly="1" grandCol="1" outline="0" fieldPosition="0"/>
    </format>
    <format dxfId="744">
      <pivotArea dataOnly="0" fieldPosition="0">
        <references count="1">
          <reference field="17" count="1">
            <x v="1"/>
          </reference>
        </references>
      </pivotArea>
    </format>
    <format dxfId="743">
      <pivotArea dataOnly="0" fieldPosition="0">
        <references count="1">
          <reference field="17" count="1">
            <x v="2"/>
          </reference>
        </references>
      </pivotArea>
    </format>
    <format dxfId="742">
      <pivotArea outline="0" collapsedLevelsAreSubtotals="1" fieldPosition="0"/>
    </format>
    <format dxfId="741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740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739">
      <pivotArea dataOnly="0" labelOnly="1" grandRow="1" outline="0" fieldPosition="0"/>
    </format>
    <format dxfId="738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737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736">
      <pivotArea dataOnly="0" outline="0" fieldPosition="0">
        <references count="1">
          <reference field="17" count="0" defaultSubtotal="1"/>
        </references>
      </pivotArea>
    </format>
    <format dxfId="735">
      <pivotArea field="17" type="button" dataOnly="0" labelOnly="1" outline="0" axis="axisRow" fieldPosition="0"/>
    </format>
    <format dxfId="734">
      <pivotArea field="10" type="button" dataOnly="0" labelOnly="1" outline="0" axis="axisRow" fieldPosition="1"/>
    </format>
    <format dxfId="733">
      <pivotArea dataOnly="0" labelOnly="1" grandCol="1" outline="0" fieldPosition="0"/>
    </format>
    <format dxfId="732">
      <pivotArea field="17" type="button" dataOnly="0" labelOnly="1" outline="0" axis="axisRow" fieldPosition="0"/>
    </format>
    <format dxfId="731">
      <pivotArea field="10" type="button" dataOnly="0" labelOnly="1" outline="0" axis="axisRow" fieldPosition="1"/>
    </format>
    <format dxfId="730">
      <pivotArea field="12" type="button" dataOnly="0" labelOnly="1" outline="0" axis="axisRow" fieldPosition="2"/>
    </format>
    <format dxfId="729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28">
      <pivotArea dataOnly="0" labelOnly="1" grandCol="1" outline="0" fieldPosition="0"/>
    </format>
    <format dxfId="727">
      <pivotArea field="17" type="button" dataOnly="0" labelOnly="1" outline="0" axis="axisRow" fieldPosition="0"/>
    </format>
    <format dxfId="726">
      <pivotArea field="10" type="button" dataOnly="0" labelOnly="1" outline="0" axis="axisRow" fieldPosition="1"/>
    </format>
    <format dxfId="725">
      <pivotArea field="12" type="button" dataOnly="0" labelOnly="1" outline="0" axis="axisRow" fieldPosition="2"/>
    </format>
    <format dxfId="724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23">
      <pivotArea dataOnly="0" labelOnly="1" grandCol="1" outline="0" fieldPosition="0"/>
    </format>
    <format dxfId="722">
      <pivotArea field="17" type="button" dataOnly="0" labelOnly="1" outline="0" axis="axisRow" fieldPosition="0"/>
    </format>
    <format dxfId="721">
      <pivotArea field="10" type="button" dataOnly="0" labelOnly="1" outline="0" axis="axisRow" fieldPosition="1"/>
    </format>
    <format dxfId="720">
      <pivotArea field="12" type="button" dataOnly="0" labelOnly="1" outline="0" axis="axisRow" fieldPosition="2"/>
    </format>
    <format dxfId="719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18">
      <pivotArea dataOnly="0" labelOnly="1" grandCol="1" outline="0" fieldPosition="0"/>
    </format>
    <format dxfId="717">
      <pivotArea field="17" type="button" dataOnly="0" labelOnly="1" outline="0" axis="axisRow" fieldPosition="0"/>
    </format>
    <format dxfId="716">
      <pivotArea field="10" type="button" dataOnly="0" labelOnly="1" outline="0" axis="axisRow" fieldPosition="1"/>
    </format>
    <format dxfId="715">
      <pivotArea field="12" type="button" dataOnly="0" labelOnly="1" outline="0" axis="axisRow" fieldPosition="2"/>
    </format>
    <format dxfId="714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13">
      <pivotArea dataOnly="0" labelOnly="1" grandCol="1" outline="0" fieldPosition="0"/>
    </format>
    <format dxfId="712">
      <pivotArea field="17" type="button" dataOnly="0" labelOnly="1" outline="0" axis="axisRow" fieldPosition="0"/>
    </format>
    <format dxfId="711">
      <pivotArea field="10" type="button" dataOnly="0" labelOnly="1" outline="0" axis="axisRow" fieldPosition="1"/>
    </format>
    <format dxfId="710">
      <pivotArea field="12" type="button" dataOnly="0" labelOnly="1" outline="0" axis="axisRow" fieldPosition="2"/>
    </format>
    <format dxfId="709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08">
      <pivotArea dataOnly="0" labelOnly="1" grandCol="1" outline="0" fieldPosition="0"/>
    </format>
    <format dxfId="707">
      <pivotArea dataOnly="0" labelOnly="1" outline="0" fieldPosition="0">
        <references count="1">
          <reference field="11" count="1">
            <x v="8"/>
          </reference>
        </references>
      </pivotArea>
    </format>
    <format dxfId="706">
      <pivotArea dataOnly="0" labelOnly="1" outline="0" fieldPosition="0">
        <references count="1">
          <reference field="11" count="1">
            <x v="7"/>
          </reference>
        </references>
      </pivotArea>
    </format>
    <format dxfId="705">
      <pivotArea dataOnly="0" labelOnly="1" outline="0" fieldPosition="0">
        <references count="1">
          <reference field="11" count="1">
            <x v="6"/>
          </reference>
        </references>
      </pivotArea>
    </format>
    <format dxfId="704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703">
      <pivotArea dataOnly="0" labelOnly="1" outline="0" fieldPosition="0">
        <references count="1">
          <reference field="11" count="1">
            <x v="13"/>
          </reference>
        </references>
      </pivotArea>
    </format>
    <format dxfId="702">
      <pivotArea dataOnly="0" labelOnly="1" outline="0" fieldPosition="0">
        <references count="1">
          <reference field="11" count="1">
            <x v="3"/>
          </reference>
        </references>
      </pivotArea>
    </format>
    <format dxfId="701">
      <pivotArea dataOnly="0" labelOnly="1" outline="0" fieldPosition="0">
        <references count="1">
          <reference field="11" count="1">
            <x v="14"/>
          </reference>
        </references>
      </pivotArea>
    </format>
    <format dxfId="700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699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698">
      <pivotArea dataOnly="0" labelOnly="1" outline="0" fieldPosition="0">
        <references count="1">
          <reference field="11" count="1">
            <x v="15"/>
          </reference>
        </references>
      </pivotArea>
    </format>
    <format dxfId="697">
      <pivotArea outline="0" collapsedLevelsAreSubtotals="1" fieldPosition="0">
        <references count="4">
          <reference field="10" count="1" selected="0">
            <x v="42"/>
          </reference>
          <reference field="11" count="1" selected="0">
            <x v="15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696">
      <pivotArea outline="0" collapsedLevelsAreSubtotals="1" fieldPosition="0">
        <references count="4">
          <reference field="10" count="1" selected="0">
            <x v="42"/>
          </reference>
          <reference field="11" count="1" selected="0">
            <x v="15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695">
      <pivotArea outline="0" collapsedLevelsAreSubtotals="1" fieldPosition="0">
        <references count="4">
          <reference field="10" count="1" selected="0">
            <x v="41"/>
          </reference>
          <reference field="11" count="1" selected="0">
            <x v="15"/>
          </reference>
          <reference field="12" count="1" selected="0">
            <x v="36"/>
          </reference>
          <reference field="17" count="1" selected="0">
            <x v="1"/>
          </reference>
        </references>
      </pivotArea>
    </format>
    <format dxfId="694">
      <pivotArea outline="0" collapsedLevelsAreSubtotals="1" fieldPosition="0">
        <references count="4">
          <reference field="10" count="1" selected="0">
            <x v="41"/>
          </reference>
          <reference field="11" count="1" selected="0">
            <x v="15"/>
          </reference>
          <reference field="12" count="1" selected="0">
            <x v="36"/>
          </reference>
          <reference field="17" count="1" selected="0">
            <x v="1"/>
          </reference>
        </references>
      </pivotArea>
    </format>
    <format dxfId="693">
      <pivotArea outline="0" fieldPosition="0">
        <references count="1">
          <reference field="4294967294" count="1">
            <x v="0"/>
          </reference>
        </references>
      </pivotArea>
    </format>
    <format dxfId="692">
      <pivotArea outline="0" fieldPosition="0">
        <references count="1">
          <reference field="4294967294" count="1">
            <x v="0"/>
          </reference>
        </references>
      </pivotArea>
    </format>
    <format dxfId="691">
      <pivotArea outline="0" collapsedLevelsAreSubtotals="1" fieldPosition="0"/>
    </format>
    <format dxfId="690">
      <pivotArea outline="0" collapsedLevelsAreSubtotals="1" fieldPosition="0"/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I6:O33" firstHeaderRow="1" firstDataRow="2" firstDataCol="3" rowPageCount="2" colPageCount="1"/>
  <pivotFields count="20">
    <pivotField axis="axisPage" compact="0" outline="0" multipleItemSelectionAllowed="1" showAll="0">
      <items count="9">
        <item h="1" x="1"/>
        <item h="1" x="0"/>
        <item h="1" x="7"/>
        <item h="1" x="2"/>
        <item h="1" x="3"/>
        <item h="1" x="4"/>
        <item x="5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Col" compact="0" outline="0" showAll="0" defaultSubtotal="0">
      <items count="18">
        <item x="1"/>
        <item x="8"/>
        <item x="2"/>
        <item x="13"/>
        <item x="6"/>
        <item x="9"/>
        <item x="3"/>
        <item x="4"/>
        <item x="5"/>
        <item x="7"/>
        <item x="16"/>
        <item x="0"/>
        <item x="10"/>
        <item x="11"/>
        <item x="12"/>
        <item n="EAU POTABLE à 25%" x="14"/>
        <item n="Total général" m="1" x="17"/>
        <item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m="1" x="50"/>
        <item x="49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7">
        <item h="1" x="0"/>
        <item h="1" x="1"/>
        <item h="1" x="5"/>
        <item h="1" x="2"/>
        <item h="1" x="3"/>
        <item x="4"/>
        <item t="default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26">
    <i>
      <x v="1"/>
      <x v="32"/>
      <x v="45"/>
    </i>
    <i r="1">
      <x v="33"/>
      <x v="42"/>
    </i>
    <i r="1">
      <x v="34"/>
      <x v="41"/>
    </i>
    <i r="1">
      <x v="35"/>
      <x v="43"/>
    </i>
    <i r="1">
      <x v="36"/>
      <x v="40"/>
    </i>
    <i r="1">
      <x v="37"/>
      <x v="44"/>
    </i>
    <i r="1">
      <x v="38"/>
      <x v="4"/>
    </i>
    <i r="1">
      <x v="40"/>
      <x v="37"/>
    </i>
    <i r="1">
      <x v="41"/>
      <x v="36"/>
    </i>
    <i r="1">
      <x v="42"/>
      <x v="19"/>
    </i>
    <i r="1">
      <x v="43"/>
      <x v="8"/>
    </i>
    <i r="1">
      <x v="47"/>
      <x v="32"/>
    </i>
    <i t="default">
      <x v="1"/>
    </i>
    <i>
      <x v="2"/>
      <x v="7"/>
      <x v="33"/>
    </i>
    <i r="1">
      <x v="8"/>
      <x v="26"/>
    </i>
    <i r="1">
      <x v="12"/>
      <x v="39"/>
    </i>
    <i r="1">
      <x v="14"/>
      <x v="5"/>
    </i>
    <i r="1">
      <x v="16"/>
      <x v="22"/>
    </i>
    <i r="1">
      <x v="17"/>
      <x v="14"/>
    </i>
    <i r="1">
      <x v="19"/>
      <x v="16"/>
    </i>
    <i r="1">
      <x v="20"/>
      <x v="27"/>
    </i>
    <i r="1">
      <x v="21"/>
      <x v="28"/>
    </i>
    <i r="1">
      <x v="25"/>
      <x v="2"/>
    </i>
    <i r="1">
      <x v="44"/>
      <x v="31"/>
    </i>
    <i t="default">
      <x v="2"/>
    </i>
    <i t="grand">
      <x/>
    </i>
  </rowItems>
  <colFields count="1">
    <field x="11"/>
  </colFields>
  <colItems count="4">
    <i>
      <x/>
    </i>
    <i>
      <x v="3"/>
    </i>
    <i>
      <x v="15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79">
    <format dxfId="844">
      <pivotArea dataOnly="0" grandRow="1" fieldPosition="0"/>
    </format>
    <format dxfId="843">
      <pivotArea type="topRight" dataOnly="0" labelOnly="1" outline="0" fieldPosition="0"/>
    </format>
    <format dxfId="842">
      <pivotArea field="-2" type="button" dataOnly="0" labelOnly="1" outline="0" axis="axisValues" fieldPosition="0"/>
    </format>
    <format dxfId="841">
      <pivotArea field="-2" type="button" dataOnly="0" labelOnly="1" outline="0" axis="axisValues" fieldPosition="0"/>
    </format>
    <format dxfId="840">
      <pivotArea field="-2" type="button" dataOnly="0" labelOnly="1" outline="0" axis="axisValues" fieldPosition="0"/>
    </format>
    <format dxfId="839">
      <pivotArea field="-2" type="button" dataOnly="0" labelOnly="1" outline="0" axis="axisValues" fieldPosition="0"/>
    </format>
    <format dxfId="838">
      <pivotArea type="topRight" dataOnly="0" labelOnly="1" outline="0" fieldPosition="0"/>
    </format>
    <format dxfId="837">
      <pivotArea grandCol="1" outline="0" collapsedLevelsAreSubtotals="1" fieldPosition="0"/>
    </format>
    <format dxfId="836">
      <pivotArea dataOnly="0" labelOnly="1" grandCol="1" outline="0" fieldPosition="0"/>
    </format>
    <format dxfId="835">
      <pivotArea dataOnly="0" labelOnly="1" grandCol="1" outline="0" fieldPosition="0"/>
    </format>
    <format dxfId="834">
      <pivotArea dataOnly="0" labelOnly="1" grandCol="1" outline="0" fieldPosition="0"/>
    </format>
    <format dxfId="833">
      <pivotArea type="topRight" dataOnly="0" labelOnly="1" outline="0" fieldPosition="0"/>
    </format>
    <format dxfId="832">
      <pivotArea outline="0" collapsedLevelsAreSubtotals="1" fieldPosition="0"/>
    </format>
    <format dxfId="831">
      <pivotArea type="topRight" dataOnly="0" labelOnly="1" outline="0" fieldPosition="0"/>
    </format>
    <format dxfId="830">
      <pivotArea dataOnly="0" labelOnly="1" grandCol="1" outline="0" fieldPosition="0"/>
    </format>
    <format dxfId="829">
      <pivotArea outline="0" collapsedLevelsAreSubtotals="1" fieldPosition="0"/>
    </format>
    <format dxfId="828">
      <pivotArea type="topRight" dataOnly="0" labelOnly="1" outline="0" fieldPosition="0"/>
    </format>
    <format dxfId="827">
      <pivotArea dataOnly="0" labelOnly="1" grandCol="1" outline="0" fieldPosition="0"/>
    </format>
    <format dxfId="826">
      <pivotArea outline="0" collapsedLevelsAreSubtotals="1" fieldPosition="0"/>
    </format>
    <format dxfId="825">
      <pivotArea type="topRight" dataOnly="0" labelOnly="1" outline="0" fieldPosition="0"/>
    </format>
    <format dxfId="824">
      <pivotArea dataOnly="0" labelOnly="1" grandCol="1" outline="0" fieldPosition="0"/>
    </format>
    <format dxfId="823">
      <pivotArea dataOnly="0" fieldPosition="0">
        <references count="1">
          <reference field="17" count="1">
            <x v="1"/>
          </reference>
        </references>
      </pivotArea>
    </format>
    <format dxfId="822">
      <pivotArea dataOnly="0" fieldPosition="0">
        <references count="1">
          <reference field="17" count="1">
            <x v="2"/>
          </reference>
        </references>
      </pivotArea>
    </format>
    <format dxfId="821">
      <pivotArea outline="0" collapsedLevelsAreSubtotals="1" fieldPosition="0"/>
    </format>
    <format dxfId="820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819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818">
      <pivotArea dataOnly="0" labelOnly="1" grandRow="1" outline="0" fieldPosition="0"/>
    </format>
    <format dxfId="817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816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815">
      <pivotArea dataOnly="0" outline="0" fieldPosition="0">
        <references count="1">
          <reference field="17" count="0" defaultSubtotal="1"/>
        </references>
      </pivotArea>
    </format>
    <format dxfId="814">
      <pivotArea field="17" type="button" dataOnly="0" labelOnly="1" outline="0" axis="axisRow" fieldPosition="0"/>
    </format>
    <format dxfId="813">
      <pivotArea field="10" type="button" dataOnly="0" labelOnly="1" outline="0" axis="axisRow" fieldPosition="1"/>
    </format>
    <format dxfId="812">
      <pivotArea dataOnly="0" labelOnly="1" grandCol="1" outline="0" fieldPosition="0"/>
    </format>
    <format dxfId="811">
      <pivotArea field="17" type="button" dataOnly="0" labelOnly="1" outline="0" axis="axisRow" fieldPosition="0"/>
    </format>
    <format dxfId="810">
      <pivotArea field="10" type="button" dataOnly="0" labelOnly="1" outline="0" axis="axisRow" fieldPosition="1"/>
    </format>
    <format dxfId="809">
      <pivotArea field="12" type="button" dataOnly="0" labelOnly="1" outline="0" axis="axisRow" fieldPosition="2"/>
    </format>
    <format dxfId="808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807">
      <pivotArea dataOnly="0" labelOnly="1" grandCol="1" outline="0" fieldPosition="0"/>
    </format>
    <format dxfId="806">
      <pivotArea field="17" type="button" dataOnly="0" labelOnly="1" outline="0" axis="axisRow" fieldPosition="0"/>
    </format>
    <format dxfId="805">
      <pivotArea field="10" type="button" dataOnly="0" labelOnly="1" outline="0" axis="axisRow" fieldPosition="1"/>
    </format>
    <format dxfId="804">
      <pivotArea field="12" type="button" dataOnly="0" labelOnly="1" outline="0" axis="axisRow" fieldPosition="2"/>
    </format>
    <format dxfId="803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802">
      <pivotArea dataOnly="0" labelOnly="1" grandCol="1" outline="0" fieldPosition="0"/>
    </format>
    <format dxfId="801">
      <pivotArea field="17" type="button" dataOnly="0" labelOnly="1" outline="0" axis="axisRow" fieldPosition="0"/>
    </format>
    <format dxfId="800">
      <pivotArea field="10" type="button" dataOnly="0" labelOnly="1" outline="0" axis="axisRow" fieldPosition="1"/>
    </format>
    <format dxfId="799">
      <pivotArea field="12" type="button" dataOnly="0" labelOnly="1" outline="0" axis="axisRow" fieldPosition="2"/>
    </format>
    <format dxfId="798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97">
      <pivotArea dataOnly="0" labelOnly="1" grandCol="1" outline="0" fieldPosition="0"/>
    </format>
    <format dxfId="796">
      <pivotArea field="17" type="button" dataOnly="0" labelOnly="1" outline="0" axis="axisRow" fieldPosition="0"/>
    </format>
    <format dxfId="795">
      <pivotArea field="10" type="button" dataOnly="0" labelOnly="1" outline="0" axis="axisRow" fieldPosition="1"/>
    </format>
    <format dxfId="794">
      <pivotArea field="12" type="button" dataOnly="0" labelOnly="1" outline="0" axis="axisRow" fieldPosition="2"/>
    </format>
    <format dxfId="793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92">
      <pivotArea dataOnly="0" labelOnly="1" grandCol="1" outline="0" fieldPosition="0"/>
    </format>
    <format dxfId="791">
      <pivotArea field="17" type="button" dataOnly="0" labelOnly="1" outline="0" axis="axisRow" fieldPosition="0"/>
    </format>
    <format dxfId="790">
      <pivotArea field="10" type="button" dataOnly="0" labelOnly="1" outline="0" axis="axisRow" fieldPosition="1"/>
    </format>
    <format dxfId="789">
      <pivotArea field="12" type="button" dataOnly="0" labelOnly="1" outline="0" axis="axisRow" fieldPosition="2"/>
    </format>
    <format dxfId="788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787">
      <pivotArea dataOnly="0" labelOnly="1" grandCol="1" outline="0" fieldPosition="0"/>
    </format>
    <format dxfId="786">
      <pivotArea dataOnly="0" labelOnly="1" outline="0" fieldPosition="0">
        <references count="1">
          <reference field="11" count="1">
            <x v="8"/>
          </reference>
        </references>
      </pivotArea>
    </format>
    <format dxfId="785">
      <pivotArea dataOnly="0" labelOnly="1" outline="0" fieldPosition="0">
        <references count="1">
          <reference field="11" count="1">
            <x v="7"/>
          </reference>
        </references>
      </pivotArea>
    </format>
    <format dxfId="784">
      <pivotArea dataOnly="0" labelOnly="1" outline="0" fieldPosition="0">
        <references count="1">
          <reference field="11" count="1">
            <x v="6"/>
          </reference>
        </references>
      </pivotArea>
    </format>
    <format dxfId="783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782">
      <pivotArea dataOnly="0" labelOnly="1" outline="0" fieldPosition="0">
        <references count="1">
          <reference field="11" count="1">
            <x v="13"/>
          </reference>
        </references>
      </pivotArea>
    </format>
    <format dxfId="781">
      <pivotArea dataOnly="0" labelOnly="1" outline="0" fieldPosition="0">
        <references count="1">
          <reference field="11" count="1">
            <x v="3"/>
          </reference>
        </references>
      </pivotArea>
    </format>
    <format dxfId="780">
      <pivotArea dataOnly="0" labelOnly="1" outline="0" fieldPosition="0">
        <references count="1">
          <reference field="11" count="1">
            <x v="14"/>
          </reference>
        </references>
      </pivotArea>
    </format>
    <format dxfId="779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778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777">
      <pivotArea dataOnly="0" labelOnly="1" outline="0" fieldPosition="0">
        <references count="1">
          <reference field="11" count="1">
            <x v="15"/>
          </reference>
        </references>
      </pivotArea>
    </format>
    <format dxfId="776">
      <pivotArea outline="0" collapsedLevelsAreSubtotals="1" fieldPosition="0">
        <references count="4">
          <reference field="10" count="1" selected="0">
            <x v="42"/>
          </reference>
          <reference field="11" count="1" selected="0">
            <x v="15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775">
      <pivotArea outline="0" collapsedLevelsAreSubtotals="1" fieldPosition="0">
        <references count="4">
          <reference field="10" count="1" selected="0">
            <x v="42"/>
          </reference>
          <reference field="11" count="1" selected="0">
            <x v="15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774">
      <pivotArea outline="0" collapsedLevelsAreSubtotals="1" fieldPosition="0">
        <references count="4">
          <reference field="10" count="1" selected="0">
            <x v="41"/>
          </reference>
          <reference field="11" count="1" selected="0">
            <x v="15"/>
          </reference>
          <reference field="12" count="1" selected="0">
            <x v="36"/>
          </reference>
          <reference field="17" count="1" selected="0">
            <x v="1"/>
          </reference>
        </references>
      </pivotArea>
    </format>
    <format dxfId="773">
      <pivotArea outline="0" collapsedLevelsAreSubtotals="1" fieldPosition="0">
        <references count="4">
          <reference field="10" count="1" selected="0">
            <x v="41"/>
          </reference>
          <reference field="11" count="1" selected="0">
            <x v="15"/>
          </reference>
          <reference field="12" count="1" selected="0">
            <x v="36"/>
          </reference>
          <reference field="17" count="1" selected="0">
            <x v="1"/>
          </reference>
        </references>
      </pivotArea>
    </format>
    <format dxfId="772">
      <pivotArea outline="0" fieldPosition="0">
        <references count="1">
          <reference field="4294967294" count="1">
            <x v="0"/>
          </reference>
        </references>
      </pivotArea>
    </format>
    <format dxfId="771">
      <pivotArea outline="0" fieldPosition="0">
        <references count="1">
          <reference field="4294967294" count="1">
            <x v="0"/>
          </reference>
        </references>
      </pivotArea>
    </format>
    <format dxfId="770">
      <pivotArea outline="0" collapsedLevelsAreSubtotals="1" fieldPosition="0"/>
    </format>
    <format dxfId="769">
      <pivotArea outline="0" collapsedLevelsAreSubtotals="1" fieldPosition="0"/>
    </format>
    <format dxfId="768">
      <pivotArea dataOnly="0" labelOnly="1" outline="0" fieldPosition="0">
        <references count="1">
          <reference field="11" count="1">
            <x v="16"/>
          </reference>
        </references>
      </pivotArea>
    </format>
    <format dxfId="767">
      <pivotArea dataOnly="0" labelOnly="1" outline="0" fieldPosition="0">
        <references count="1">
          <reference field="11" count="1">
            <x v="16"/>
          </reference>
        </references>
      </pivotArea>
    </format>
    <format dxfId="766">
      <pivotArea dataOnly="0" labelOnly="1" outline="0" fieldPosition="0">
        <references count="1">
          <reference field="11" count="1">
            <x v="16"/>
          </reference>
        </references>
      </pivotArea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" cacheId="91" applyNumberFormats="0" applyBorderFormats="0" applyFontFormats="0" applyPatternFormats="0" applyAlignmentFormats="0" applyWidthHeightFormats="1" dataCaption="Valeurs" updatedVersion="6" minRefreshableVersion="3" colGrandTotals="0" itemPrintTitles="1" createdVersion="6" indent="0" compact="0" compactData="0" multipleFieldFilters="0">
  <location ref="A5:I45" firstHeaderRow="1" firstDataRow="3" firstDataCol="3"/>
  <pivotFields count="20">
    <pivotField axis="axisCol" compact="0" outline="0" multipleItemSelectionAllowed="1" showAll="0">
      <items count="10">
        <item x="0"/>
        <item h="1" x="1"/>
        <item h="1" x="2"/>
        <item h="1" x="3"/>
        <item h="1" x="4"/>
        <item h="1" x="8"/>
        <item h="1" x="6"/>
        <item h="1" x="5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compact="0" outline="0" showAll="0" defaultSubtotal="0"/>
    <pivotField axis="axisRow" compact="0" outline="0" showAll="0" sortType="ascending" defaultSubtotal="0">
      <items count="50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x="49"/>
      </items>
    </pivotField>
    <pivotField compact="0" outline="0" showAll="0" defaultSubtotal="0"/>
    <pivotField dataField="1" compact="0" outline="0" showAll="0"/>
    <pivotField axis="axisCol" compact="0" outline="0" multipleItemSelectionAllowed="1" showAll="0" defaultSubtotal="0">
      <items count="7">
        <item x="0"/>
        <item x="1"/>
        <item x="2"/>
        <item x="3"/>
        <item x="6"/>
        <item x="4"/>
        <item x="5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38">
    <i>
      <x v="1"/>
      <x v="32"/>
      <x v="45"/>
    </i>
    <i r="1">
      <x v="33"/>
      <x v="42"/>
    </i>
    <i r="1">
      <x v="34"/>
      <x v="41"/>
    </i>
    <i r="1">
      <x v="35"/>
      <x v="43"/>
    </i>
    <i r="1">
      <x v="36"/>
      <x v="40"/>
    </i>
    <i r="1">
      <x v="37"/>
      <x v="46"/>
    </i>
    <i r="1">
      <x v="38"/>
      <x v="4"/>
    </i>
    <i r="1">
      <x v="39"/>
      <x v="21"/>
    </i>
    <i r="1">
      <x v="40"/>
      <x v="37"/>
    </i>
    <i r="1">
      <x v="41"/>
      <x v="36"/>
    </i>
    <i r="1">
      <x v="42"/>
      <x v="19"/>
    </i>
    <i r="1">
      <x v="43"/>
      <x v="8"/>
    </i>
    <i r="1">
      <x v="46"/>
      <x v="10"/>
    </i>
    <i r="1">
      <x v="47"/>
      <x v="32"/>
    </i>
    <i t="default">
      <x v="1"/>
    </i>
    <i>
      <x v="2"/>
      <x v="7"/>
      <x v="33"/>
    </i>
    <i r="1">
      <x v="8"/>
      <x v="26"/>
    </i>
    <i r="1">
      <x v="9"/>
      <x v="7"/>
    </i>
    <i r="1">
      <x v="10"/>
      <x v="1"/>
    </i>
    <i r="1">
      <x v="11"/>
      <x/>
    </i>
    <i r="1">
      <x v="12"/>
      <x v="39"/>
    </i>
    <i r="1">
      <x v="14"/>
      <x v="5"/>
    </i>
    <i r="1">
      <x v="16"/>
      <x v="22"/>
    </i>
    <i r="1">
      <x v="17"/>
      <x v="14"/>
    </i>
    <i r="1">
      <x v="18"/>
      <x v="48"/>
    </i>
    <i r="1">
      <x v="19"/>
      <x v="16"/>
    </i>
    <i r="1">
      <x v="20"/>
      <x v="27"/>
    </i>
    <i r="1">
      <x v="21"/>
      <x v="28"/>
    </i>
    <i r="1">
      <x v="22"/>
      <x v="47"/>
    </i>
    <i r="1">
      <x v="23"/>
      <x v="25"/>
    </i>
    <i r="1">
      <x v="24"/>
      <x v="17"/>
    </i>
    <i r="1">
      <x v="25"/>
      <x v="2"/>
    </i>
    <i r="1">
      <x v="26"/>
      <x v="3"/>
    </i>
    <i r="1">
      <x v="29"/>
      <x v="13"/>
    </i>
    <i r="1">
      <x v="44"/>
      <x v="31"/>
    </i>
    <i r="1">
      <x v="45"/>
      <x v="30"/>
    </i>
    <i t="default">
      <x v="2"/>
    </i>
    <i t="grand">
      <x/>
    </i>
  </rowItems>
  <colFields count="2">
    <field x="15"/>
    <field x="0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 v="8"/>
    </i>
  </colItems>
  <dataFields count="1">
    <dataField name="montant" fld="14" baseField="11" baseItem="0" numFmtId="3"/>
  </dataFields>
  <formats count="104">
    <format dxfId="689">
      <pivotArea dataOnly="0" grandRow="1" fieldPosition="0"/>
    </format>
    <format dxfId="688">
      <pivotArea type="topRight" dataOnly="0" labelOnly="1" outline="0" fieldPosition="0"/>
    </format>
    <format dxfId="687">
      <pivotArea field="-2" type="button" dataOnly="0" labelOnly="1" outline="0" axis="axisValues" fieldPosition="0"/>
    </format>
    <format dxfId="686">
      <pivotArea field="-2" type="button" dataOnly="0" labelOnly="1" outline="0" axis="axisValues" fieldPosition="0"/>
    </format>
    <format dxfId="685">
      <pivotArea field="-2" type="button" dataOnly="0" labelOnly="1" outline="0" axis="axisValues" fieldPosition="0"/>
    </format>
    <format dxfId="684">
      <pivotArea field="-2" type="button" dataOnly="0" labelOnly="1" outline="0" axis="axisValues" fieldPosition="0"/>
    </format>
    <format dxfId="683">
      <pivotArea type="topRight" dataOnly="0" labelOnly="1" outline="0" fieldPosition="0"/>
    </format>
    <format dxfId="682">
      <pivotArea grandCol="1" outline="0" collapsedLevelsAreSubtotals="1" fieldPosition="0"/>
    </format>
    <format dxfId="681">
      <pivotArea dataOnly="0" labelOnly="1" grandCol="1" outline="0" fieldPosition="0"/>
    </format>
    <format dxfId="680">
      <pivotArea dataOnly="0" labelOnly="1" grandCol="1" outline="0" fieldPosition="0"/>
    </format>
    <format dxfId="679">
      <pivotArea dataOnly="0" labelOnly="1" grandCol="1" outline="0" fieldPosition="0"/>
    </format>
    <format dxfId="678">
      <pivotArea type="topRight" dataOnly="0" labelOnly="1" outline="0" fieldPosition="0"/>
    </format>
    <format dxfId="677">
      <pivotArea outline="0" collapsedLevelsAreSubtotals="1" fieldPosition="0"/>
    </format>
    <format dxfId="676">
      <pivotArea type="topRight" dataOnly="0" labelOnly="1" outline="0" fieldPosition="0"/>
    </format>
    <format dxfId="675">
      <pivotArea dataOnly="0" labelOnly="1" grandCol="1" outline="0" fieldPosition="0"/>
    </format>
    <format dxfId="674">
      <pivotArea outline="0" collapsedLevelsAreSubtotals="1" fieldPosition="0"/>
    </format>
    <format dxfId="673">
      <pivotArea type="topRight" dataOnly="0" labelOnly="1" outline="0" fieldPosition="0"/>
    </format>
    <format dxfId="672">
      <pivotArea dataOnly="0" labelOnly="1" grandCol="1" outline="0" fieldPosition="0"/>
    </format>
    <format dxfId="671">
      <pivotArea outline="0" collapsedLevelsAreSubtotals="1" fieldPosition="0"/>
    </format>
    <format dxfId="670">
      <pivotArea type="topRight" dataOnly="0" labelOnly="1" outline="0" fieldPosition="0"/>
    </format>
    <format dxfId="669">
      <pivotArea dataOnly="0" labelOnly="1" grandCol="1" outline="0" fieldPosition="0"/>
    </format>
    <format dxfId="668">
      <pivotArea dataOnly="0" fieldPosition="0">
        <references count="1">
          <reference field="17" count="1">
            <x v="1"/>
          </reference>
        </references>
      </pivotArea>
    </format>
    <format dxfId="667">
      <pivotArea dataOnly="0" fieldPosition="0">
        <references count="1">
          <reference field="17" count="1">
            <x v="2"/>
          </reference>
        </references>
      </pivotArea>
    </format>
    <format dxfId="666">
      <pivotArea outline="0" collapsedLevelsAreSubtotals="1" fieldPosition="0"/>
    </format>
    <format dxfId="665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664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663">
      <pivotArea dataOnly="0" labelOnly="1" grandRow="1" outline="0" fieldPosition="0"/>
    </format>
    <format dxfId="662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661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660">
      <pivotArea dataOnly="0" outline="0" fieldPosition="0">
        <references count="1">
          <reference field="17" count="0" defaultSubtotal="1"/>
        </references>
      </pivotArea>
    </format>
    <format dxfId="659">
      <pivotArea field="17" type="button" dataOnly="0" labelOnly="1" outline="0" axis="axisRow" fieldPosition="0"/>
    </format>
    <format dxfId="658">
      <pivotArea field="10" type="button" dataOnly="0" labelOnly="1" outline="0" axis="axisRow" fieldPosition="1"/>
    </format>
    <format dxfId="657">
      <pivotArea dataOnly="0" labelOnly="1" grandCol="1" outline="0" fieldPosition="0"/>
    </format>
    <format dxfId="656">
      <pivotArea field="17" type="button" dataOnly="0" labelOnly="1" outline="0" axis="axisRow" fieldPosition="0"/>
    </format>
    <format dxfId="655">
      <pivotArea field="10" type="button" dataOnly="0" labelOnly="1" outline="0" axis="axisRow" fieldPosition="1"/>
    </format>
    <format dxfId="654">
      <pivotArea field="12" type="button" dataOnly="0" labelOnly="1" outline="0" axis="axisRow" fieldPosition="2"/>
    </format>
    <format dxfId="653">
      <pivotArea dataOnly="0" labelOnly="1" grandCol="1" outline="0" fieldPosition="0"/>
    </format>
    <format dxfId="652">
      <pivotArea field="17" type="button" dataOnly="0" labelOnly="1" outline="0" axis="axisRow" fieldPosition="0"/>
    </format>
    <format dxfId="651">
      <pivotArea field="10" type="button" dataOnly="0" labelOnly="1" outline="0" axis="axisRow" fieldPosition="1"/>
    </format>
    <format dxfId="650">
      <pivotArea field="12" type="button" dataOnly="0" labelOnly="1" outline="0" axis="axisRow" fieldPosition="2"/>
    </format>
    <format dxfId="649">
      <pivotArea dataOnly="0" labelOnly="1" grandCol="1" outline="0" fieldPosition="0"/>
    </format>
    <format dxfId="648">
      <pivotArea field="17" type="button" dataOnly="0" labelOnly="1" outline="0" axis="axisRow" fieldPosition="0"/>
    </format>
    <format dxfId="647">
      <pivotArea field="10" type="button" dataOnly="0" labelOnly="1" outline="0" axis="axisRow" fieldPosition="1"/>
    </format>
    <format dxfId="646">
      <pivotArea field="12" type="button" dataOnly="0" labelOnly="1" outline="0" axis="axisRow" fieldPosition="2"/>
    </format>
    <format dxfId="645">
      <pivotArea dataOnly="0" labelOnly="1" grandCol="1" outline="0" fieldPosition="0"/>
    </format>
    <format dxfId="644">
      <pivotArea field="17" type="button" dataOnly="0" labelOnly="1" outline="0" axis="axisRow" fieldPosition="0"/>
    </format>
    <format dxfId="643">
      <pivotArea field="10" type="button" dataOnly="0" labelOnly="1" outline="0" axis="axisRow" fieldPosition="1"/>
    </format>
    <format dxfId="642">
      <pivotArea field="12" type="button" dataOnly="0" labelOnly="1" outline="0" axis="axisRow" fieldPosition="2"/>
    </format>
    <format dxfId="641">
      <pivotArea dataOnly="0" labelOnly="1" grandCol="1" outline="0" fieldPosition="0"/>
    </format>
    <format dxfId="640">
      <pivotArea field="17" type="button" dataOnly="0" labelOnly="1" outline="0" axis="axisRow" fieldPosition="0"/>
    </format>
    <format dxfId="639">
      <pivotArea field="10" type="button" dataOnly="0" labelOnly="1" outline="0" axis="axisRow" fieldPosition="1"/>
    </format>
    <format dxfId="638">
      <pivotArea field="12" type="button" dataOnly="0" labelOnly="1" outline="0" axis="axisRow" fieldPosition="2"/>
    </format>
    <format dxfId="637">
      <pivotArea dataOnly="0" labelOnly="1" grandCol="1" outline="0" fieldPosition="0"/>
    </format>
    <format dxfId="636">
      <pivotArea dataOnly="0" outline="0" fieldPosition="0">
        <references count="1">
          <reference field="0" count="1">
            <x v="1"/>
          </reference>
        </references>
      </pivotArea>
    </format>
    <format dxfId="635">
      <pivotArea field="17" type="button" dataOnly="0" labelOnly="1" outline="0" axis="axisRow" fieldPosition="0"/>
    </format>
    <format dxfId="634">
      <pivotArea field="10" type="button" dataOnly="0" labelOnly="1" outline="0" axis="axisRow" fieldPosition="1"/>
    </format>
    <format dxfId="633">
      <pivotArea field="12" type="button" dataOnly="0" labelOnly="1" outline="0" axis="axisRow" fieldPosition="2"/>
    </format>
    <format dxfId="632">
      <pivotArea dataOnly="0" labelOnly="1" outline="0" fieldPosition="0">
        <references count="2">
          <reference field="0" count="1">
            <x v="0"/>
          </reference>
          <reference field="15" count="1" selected="0">
            <x v="0"/>
          </reference>
        </references>
      </pivotArea>
    </format>
    <format dxfId="631">
      <pivotArea dataOnly="0" labelOnly="1" outline="0" fieldPosition="0">
        <references count="2">
          <reference field="0" count="2">
            <x v="0"/>
            <x v="1"/>
          </reference>
          <reference field="15" count="1" selected="0">
            <x v="1"/>
          </reference>
        </references>
      </pivotArea>
    </format>
    <format dxfId="630">
      <pivotArea dataOnly="0" labelOnly="1" outline="0" fieldPosition="0">
        <references count="2">
          <reference field="0" count="3">
            <x v="0"/>
            <x v="1"/>
            <x v="2"/>
          </reference>
          <reference field="15" count="1" selected="0">
            <x v="2"/>
          </reference>
        </references>
      </pivotArea>
    </format>
    <format dxfId="629">
      <pivotArea dataOnly="0" labelOnly="1" outline="0" fieldPosition="0">
        <references count="2">
          <reference field="0" count="2">
            <x v="0"/>
            <x v="3"/>
          </reference>
          <reference field="15" count="1" selected="0">
            <x v="3"/>
          </reference>
        </references>
      </pivotArea>
    </format>
    <format dxfId="628">
      <pivotArea outline="0" collapsedLevelsAreSubtotals="1" fieldPosition="0">
        <references count="2">
          <reference field="0" count="1" selected="0">
            <x v="0"/>
          </reference>
          <reference field="15" count="1" selected="0">
            <x v="3"/>
          </reference>
        </references>
      </pivotArea>
    </format>
    <format dxfId="627">
      <pivotArea dataOnly="0" labelOnly="1" outline="0" offset="A256" fieldPosition="0">
        <references count="1">
          <reference field="15" count="1">
            <x v="3"/>
          </reference>
        </references>
      </pivotArea>
    </format>
    <format dxfId="626">
      <pivotArea dataOnly="0" labelOnly="1" outline="0" fieldPosition="0">
        <references count="2">
          <reference field="0" count="1">
            <x v="0"/>
          </reference>
          <reference field="15" count="1" selected="0">
            <x v="3"/>
          </reference>
        </references>
      </pivotArea>
    </format>
    <format dxfId="625">
      <pivotArea outline="0" collapsedLevelsAreSubtotals="1" fieldPosition="0">
        <references count="2">
          <reference field="0" count="1" selected="0">
            <x v="1"/>
          </reference>
          <reference field="15" count="1" selected="0">
            <x v="2"/>
          </reference>
        </references>
      </pivotArea>
    </format>
    <format dxfId="624">
      <pivotArea dataOnly="0" labelOnly="1" outline="0" offset="A256" fieldPosition="0">
        <references count="1">
          <reference field="15" count="1">
            <x v="2"/>
          </reference>
        </references>
      </pivotArea>
    </format>
    <format dxfId="623">
      <pivotArea dataOnly="0" labelOnly="1" outline="0" fieldPosition="0">
        <references count="2">
          <reference field="0" count="1">
            <x v="1"/>
          </reference>
          <reference field="15" count="1" selected="0">
            <x v="2"/>
          </reference>
        </references>
      </pivotArea>
    </format>
    <format dxfId="622">
      <pivotArea outline="0" collapsedLevelsAreSubtotals="1" fieldPosition="0">
        <references count="2">
          <reference field="0" count="1" selected="0">
            <x v="1"/>
          </reference>
          <reference field="15" count="1" selected="0">
            <x v="1"/>
          </reference>
        </references>
      </pivotArea>
    </format>
    <format dxfId="621">
      <pivotArea dataOnly="0" labelOnly="1" outline="0" offset="A256" fieldPosition="0">
        <references count="1">
          <reference field="15" count="1">
            <x v="1"/>
          </reference>
        </references>
      </pivotArea>
    </format>
    <format dxfId="620">
      <pivotArea dataOnly="0" labelOnly="1" outline="0" fieldPosition="0">
        <references count="2">
          <reference field="0" count="1">
            <x v="1"/>
          </reference>
          <reference field="15" count="1" selected="0">
            <x v="1"/>
          </reference>
        </references>
      </pivotArea>
    </format>
    <format dxfId="619">
      <pivotArea dataOnly="0" outline="0" fieldPosition="0">
        <references count="1">
          <reference field="0" count="1">
            <x v="3"/>
          </reference>
        </references>
      </pivotArea>
    </format>
    <format dxfId="618">
      <pivotArea dataOnly="0" outline="0" fieldPosition="0">
        <references count="1">
          <reference field="0" count="1">
            <x v="2"/>
          </reference>
        </references>
      </pivotArea>
    </format>
    <format dxfId="617">
      <pivotArea outline="0" collapsedLevelsAreSubtotals="1" fieldPosition="0">
        <references count="2">
          <reference field="0" count="1" selected="0">
            <x v="3"/>
          </reference>
          <reference field="15" count="1" selected="0">
            <x v="3"/>
          </reference>
        </references>
      </pivotArea>
    </format>
    <format dxfId="616">
      <pivotArea dataOnly="0" labelOnly="1" outline="0" fieldPosition="0">
        <references count="2">
          <reference field="0" count="1">
            <x v="3"/>
          </reference>
          <reference field="15" count="1" selected="0">
            <x v="3"/>
          </reference>
        </references>
      </pivotArea>
    </format>
    <format dxfId="615">
      <pivotArea outline="0" collapsedLevelsAreSubtotals="1" fieldPosition="0">
        <references count="2">
          <reference field="0" count="1" selected="0">
            <x v="0"/>
          </reference>
          <reference field="15" count="1" selected="0">
            <x v="0"/>
          </reference>
        </references>
      </pivotArea>
    </format>
    <format dxfId="614">
      <pivotArea dataOnly="0" labelOnly="1" outline="0" fieldPosition="0">
        <references count="1">
          <reference field="15" count="1">
            <x v="0"/>
          </reference>
        </references>
      </pivotArea>
    </format>
    <format dxfId="613">
      <pivotArea dataOnly="0" labelOnly="1" outline="0" fieldPosition="0">
        <references count="2">
          <reference field="0" count="1">
            <x v="0"/>
          </reference>
          <reference field="15" count="1" selected="0">
            <x v="0"/>
          </reference>
        </references>
      </pivotArea>
    </format>
    <format dxfId="612">
      <pivotArea outline="0" collapsedLevelsAreSubtotals="1" fieldPosition="0">
        <references count="5">
          <reference field="0" count="1" selected="0">
            <x v="1"/>
          </reference>
          <reference field="10" count="4" selected="0">
            <x v="28"/>
            <x v="29"/>
            <x v="44"/>
            <x v="45"/>
          </reference>
          <reference field="12" count="4" selected="0">
            <x v="6"/>
            <x v="13"/>
            <x v="30"/>
            <x v="31"/>
          </reference>
          <reference field="15" count="1" selected="0">
            <x v="2"/>
          </reference>
          <reference field="17" count="1" selected="0">
            <x v="2"/>
          </reference>
        </references>
      </pivotArea>
    </format>
    <format dxfId="611">
      <pivotArea outline="0" collapsedLevelsAreSubtotals="1" fieldPosition="0">
        <references count="3">
          <reference field="0" count="1" selected="0">
            <x v="1"/>
          </reference>
          <reference field="15" count="1" selected="0">
            <x v="2"/>
          </reference>
          <reference field="17" count="1" selected="0" defaultSubtotal="1">
            <x v="2"/>
          </reference>
        </references>
      </pivotArea>
    </format>
    <format dxfId="610">
      <pivotArea field="15" grandRow="1" outline="0" collapsedLevelsAreSubtotals="1" axis="axisCol" fieldPosition="0">
        <references count="2">
          <reference field="0" count="1" selected="0">
            <x v="1"/>
          </reference>
          <reference field="15" count="1" selected="0">
            <x v="2"/>
          </reference>
        </references>
      </pivotArea>
    </format>
    <format dxfId="609">
      <pivotArea outline="0" collapsedLevelsAreSubtotals="1" fieldPosition="0">
        <references count="5">
          <reference field="0" count="1" selected="0">
            <x v="3"/>
          </reference>
          <reference field="10" count="11" selected="0">
            <x v="21"/>
            <x v="22"/>
            <x v="23"/>
            <x v="24"/>
            <x v="25"/>
            <x v="26"/>
            <x v="27"/>
            <x v="28"/>
            <x v="29"/>
            <x v="44"/>
            <x v="45"/>
          </reference>
          <reference field="12" count="11" selected="0">
            <x v="2"/>
            <x v="3"/>
            <x v="6"/>
            <x v="13"/>
            <x v="17"/>
            <x v="25"/>
            <x v="28"/>
            <x v="30"/>
            <x v="31"/>
            <x v="38"/>
            <x v="47"/>
          </reference>
          <reference field="15" count="1" selected="0">
            <x v="3"/>
          </reference>
          <reference field="17" count="1" selected="0">
            <x v="2"/>
          </reference>
        </references>
      </pivotArea>
    </format>
    <format dxfId="608">
      <pivotArea outline="0" collapsedLevelsAreSubtotals="1" fieldPosition="0">
        <references count="3">
          <reference field="0" count="1" selected="0">
            <x v="3"/>
          </reference>
          <reference field="15" count="1" selected="0">
            <x v="3"/>
          </reference>
          <reference field="17" count="1" selected="0" defaultSubtotal="1">
            <x v="2"/>
          </reference>
        </references>
      </pivotArea>
    </format>
    <format dxfId="607">
      <pivotArea field="15" grandRow="1" outline="0" collapsedLevelsAreSubtotals="1" axis="axisCol" fieldPosition="0">
        <references count="2">
          <reference field="0" count="1" selected="0">
            <x v="3"/>
          </reference>
          <reference field="15" count="1" selected="0">
            <x v="3"/>
          </reference>
        </references>
      </pivotArea>
    </format>
    <format dxfId="606">
      <pivotArea dataOnly="0" outline="0" fieldPosition="0">
        <references count="1">
          <reference field="0" count="1">
            <x v="0"/>
          </reference>
        </references>
      </pivotArea>
    </format>
    <format dxfId="605">
      <pivotArea outline="0" collapsedLevelsAreSubtotals="1" fieldPosition="0">
        <references count="2">
          <reference field="0" count="1" selected="0">
            <x v="0"/>
          </reference>
          <reference field="15" count="1" selected="0">
            <x v="3"/>
          </reference>
        </references>
      </pivotArea>
    </format>
    <format dxfId="604">
      <pivotArea dataOnly="0" labelOnly="1" outline="0" fieldPosition="0">
        <references count="2">
          <reference field="0" count="1">
            <x v="0"/>
          </reference>
          <reference field="15" count="1" selected="0">
            <x v="3"/>
          </reference>
        </references>
      </pivotArea>
    </format>
    <format dxfId="603">
      <pivotArea outline="0" collapsedLevelsAreSubtotals="1" fieldPosition="0">
        <references count="2">
          <reference field="0" count="1" selected="0">
            <x v="4"/>
          </reference>
          <reference field="15" count="1" selected="0">
            <x v="3"/>
          </reference>
        </references>
      </pivotArea>
    </format>
    <format dxfId="602">
      <pivotArea outline="0" collapsedLevelsAreSubtotals="1" fieldPosition="0">
        <references count="2">
          <reference field="0" count="1" selected="0">
            <x v="4"/>
          </reference>
          <reference field="15" count="1" selected="0">
            <x v="3"/>
          </reference>
        </references>
      </pivotArea>
    </format>
    <format dxfId="601">
      <pivotArea outline="0" collapsedLevelsAreSubtotals="1" fieldPosition="0">
        <references count="2">
          <reference field="0" count="1" selected="0">
            <x v="4"/>
          </reference>
          <reference field="15" count="1" selected="0">
            <x v="3"/>
          </reference>
        </references>
      </pivotArea>
    </format>
    <format dxfId="600">
      <pivotArea outline="0" collapsedLevelsAreSubtotals="1" fieldPosition="0">
        <references count="1">
          <reference field="15" count="1" selected="0">
            <x v="5"/>
          </reference>
        </references>
      </pivotArea>
    </format>
    <format dxfId="599">
      <pivotArea dataOnly="0" labelOnly="1" outline="0" fieldPosition="0">
        <references count="1">
          <reference field="15" count="1">
            <x v="5"/>
          </reference>
        </references>
      </pivotArea>
    </format>
    <format dxfId="598">
      <pivotArea dataOnly="0" labelOnly="1" outline="0" fieldPosition="0">
        <references count="2">
          <reference field="0" count="1">
            <x v="7"/>
          </reference>
          <reference field="15" count="1" selected="0">
            <x v="5"/>
          </reference>
        </references>
      </pivotArea>
    </format>
    <format dxfId="597">
      <pivotArea outline="0" collapsedLevelsAreSubtotals="1" fieldPosition="0">
        <references count="1">
          <reference field="15" count="1" selected="0">
            <x v="5"/>
          </reference>
        </references>
      </pivotArea>
    </format>
    <format dxfId="596">
      <pivotArea dataOnly="0" labelOnly="1" outline="0" fieldPosition="0">
        <references count="1">
          <reference field="15" count="1">
            <x v="5"/>
          </reference>
        </references>
      </pivotArea>
    </format>
    <format dxfId="595">
      <pivotArea dataOnly="0" labelOnly="1" outline="0" fieldPosition="0">
        <references count="2">
          <reference field="0" count="2">
            <x v="0"/>
            <x v="7"/>
          </reference>
          <reference field="15" count="1" selected="0">
            <x v="5"/>
          </reference>
        </references>
      </pivotArea>
    </format>
    <format dxfId="594">
      <pivotArea grandRow="1" outline="0" collapsedLevelsAreSubtotals="1" fieldPosition="0"/>
    </format>
    <format dxfId="593">
      <pivotArea dataOnly="0" labelOnly="1" grandRow="1" outline="0" fieldPosition="0"/>
    </format>
    <format dxfId="592">
      <pivotArea grandRow="1" outline="0" collapsedLevelsAreSubtotals="1" fieldPosition="0"/>
    </format>
    <format dxfId="591">
      <pivotArea dataOnly="0" labelOnly="1" grandRow="1" outline="0" fieldPosition="0"/>
    </format>
    <format dxfId="590">
      <pivotArea outline="0" collapsedLevelsAreSubtotals="1" fieldPosition="0">
        <references count="2">
          <reference field="0" count="1" selected="0">
            <x v="6"/>
          </reference>
          <reference field="15" count="1" selected="0">
            <x v="5"/>
          </reference>
        </references>
      </pivotArea>
    </format>
    <format dxfId="589">
      <pivotArea outline="0" collapsedLevelsAreSubtotals="1" fieldPosition="0">
        <references count="2">
          <reference field="0" count="1" selected="0">
            <x v="6"/>
          </reference>
          <reference field="15" count="1" selected="0">
            <x v="5"/>
          </reference>
        </references>
      </pivotArea>
    </format>
    <format dxfId="210">
      <pivotArea outline="0" collapsedLevelsAreSubtotals="1" fieldPosition="0">
        <references count="1">
          <reference field="15" count="1" selected="0">
            <x v="6"/>
          </reference>
        </references>
      </pivotArea>
    </format>
    <format dxfId="209">
      <pivotArea outline="0" collapsedLevelsAreSubtotals="1" fieldPosition="0">
        <references count="4">
          <reference field="10" count="6" selected="0">
            <x v="38"/>
            <x v="39"/>
            <x v="40"/>
            <x v="41"/>
            <x v="42"/>
            <x v="43"/>
          </reference>
          <reference field="12" count="6" selected="0">
            <x v="4"/>
            <x v="8"/>
            <x v="19"/>
            <x v="21"/>
            <x v="36"/>
            <x v="37"/>
          </reference>
          <reference field="15" count="1" selected="0">
            <x v="6"/>
          </reference>
          <reference field="17" count="1" selected="0">
            <x v="1"/>
          </reference>
        </references>
      </pivotArea>
    </format>
    <format dxfId="208">
      <pivotArea outline="0" collapsedLevelsAreSubtotals="1" fieldPosition="0">
        <references count="4">
          <reference field="10" count="6" selected="0">
            <x v="32"/>
            <x v="33"/>
            <x v="34"/>
            <x v="35"/>
            <x v="36"/>
            <x v="37"/>
          </reference>
          <reference field="12" count="6" selected="0">
            <x v="40"/>
            <x v="41"/>
            <x v="42"/>
            <x v="43"/>
            <x v="45"/>
            <x v="46"/>
          </reference>
          <reference field="15" count="1" selected="0">
            <x v="6"/>
          </reference>
          <reference field="17" count="1" selected="0">
            <x v="1"/>
          </reference>
        </references>
      </pivotArea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6" minRefreshableVersion="3" colGrandTotals="0" itemPrintTitles="1" createdVersion="6" indent="0" compact="0" compactData="0" multipleFieldFilters="0">
  <location ref="I6:M21" firstHeaderRow="1" firstDataRow="3" firstDataCol="3" rowPageCount="1" colPageCount="1"/>
  <pivotFields count="20">
    <pivotField axis="axisCol" compact="0" outline="0" multipleItemSelectionAllowed="1" showAll="0">
      <items count="9">
        <item h="1" x="1"/>
        <item h="1" x="0"/>
        <item h="1" x="2"/>
        <item h="1" x="3"/>
        <item x="4"/>
        <item h="1" x="5"/>
        <item h="1" x="7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Page" compact="0" outline="0" multipleItemSelectionAllowed="1" showAll="0" defaultSubtotal="0">
      <items count="16">
        <item h="1" x="1"/>
        <item h="1" x="8"/>
        <item h="1" x="2"/>
        <item x="13"/>
        <item h="1" x="6"/>
        <item h="1" x="9"/>
        <item h="1" x="3"/>
        <item h="1" x="4"/>
        <item h="1" x="5"/>
        <item h="1" x="7"/>
        <item h="1" x="0"/>
        <item h="1" x="10"/>
        <item h="1" x="11"/>
        <item h="1" x="12"/>
        <item h="1" x="14"/>
        <item h="1"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8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9"/>
        <item x="32"/>
        <item x="47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x="46"/>
        <item x="50"/>
      </items>
    </pivotField>
    <pivotField compact="0" outline="0" showAll="0" defaultSubtotal="0"/>
    <pivotField dataField="1" compact="0" outline="0" showAll="0"/>
    <pivotField axis="axisCol" compact="0" outline="0" multipleItemSelectionAllowed="1" showAll="0" defaultSubtotal="0">
      <items count="6">
        <item x="0"/>
        <item x="1"/>
        <item x="2"/>
        <item x="3"/>
        <item x="4"/>
        <item x="5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13">
    <i>
      <x v="1"/>
      <x v="32"/>
      <x v="45"/>
    </i>
    <i r="1">
      <x v="33"/>
      <x v="42"/>
    </i>
    <i r="1">
      <x v="34"/>
      <x v="41"/>
    </i>
    <i r="1">
      <x v="42"/>
      <x v="19"/>
    </i>
    <i r="1">
      <x v="46"/>
      <x v="10"/>
    </i>
    <i t="default">
      <x v="1"/>
    </i>
    <i>
      <x v="2"/>
      <x v="12"/>
      <x v="39"/>
    </i>
    <i r="1">
      <x v="17"/>
      <x v="14"/>
    </i>
    <i r="1">
      <x v="19"/>
      <x v="16"/>
    </i>
    <i r="1">
      <x v="21"/>
      <x v="28"/>
    </i>
    <i r="1">
      <x v="45"/>
      <x v="30"/>
    </i>
    <i t="default">
      <x v="2"/>
    </i>
    <i t="grand">
      <x/>
    </i>
  </rowItems>
  <colFields count="2">
    <field x="15"/>
    <field x="0"/>
  </colFields>
  <colItems count="1">
    <i>
      <x v="3"/>
      <x v="4"/>
    </i>
  </colItems>
  <pageFields count="1">
    <pageField fld="11" hier="-1"/>
  </pageFields>
  <dataFields count="1">
    <dataField name="montant" fld="14" baseField="11" baseItem="0" numFmtId="3"/>
  </dataFields>
  <formats count="79">
    <format dxfId="508">
      <pivotArea dataOnly="0" grandRow="1" fieldPosition="0"/>
    </format>
    <format dxfId="507">
      <pivotArea type="topRight" dataOnly="0" labelOnly="1" outline="0" fieldPosition="0"/>
    </format>
    <format dxfId="506">
      <pivotArea field="-2" type="button" dataOnly="0" labelOnly="1" outline="0" axis="axisValues" fieldPosition="0"/>
    </format>
    <format dxfId="505">
      <pivotArea field="-2" type="button" dataOnly="0" labelOnly="1" outline="0" axis="axisValues" fieldPosition="0"/>
    </format>
    <format dxfId="504">
      <pivotArea field="-2" type="button" dataOnly="0" labelOnly="1" outline="0" axis="axisValues" fieldPosition="0"/>
    </format>
    <format dxfId="503">
      <pivotArea field="-2" type="button" dataOnly="0" labelOnly="1" outline="0" axis="axisValues" fieldPosition="0"/>
    </format>
    <format dxfId="502">
      <pivotArea type="topRight" dataOnly="0" labelOnly="1" outline="0" fieldPosition="0"/>
    </format>
    <format dxfId="501">
      <pivotArea grandCol="1" outline="0" collapsedLevelsAreSubtotals="1" fieldPosition="0"/>
    </format>
    <format dxfId="500">
      <pivotArea dataOnly="0" labelOnly="1" grandCol="1" outline="0" fieldPosition="0"/>
    </format>
    <format dxfId="499">
      <pivotArea dataOnly="0" labelOnly="1" grandCol="1" outline="0" fieldPosition="0"/>
    </format>
    <format dxfId="498">
      <pivotArea dataOnly="0" labelOnly="1" grandCol="1" outline="0" fieldPosition="0"/>
    </format>
    <format dxfId="497">
      <pivotArea type="topRight" dataOnly="0" labelOnly="1" outline="0" fieldPosition="0"/>
    </format>
    <format dxfId="496">
      <pivotArea outline="0" collapsedLevelsAreSubtotals="1" fieldPosition="0"/>
    </format>
    <format dxfId="495">
      <pivotArea type="topRight" dataOnly="0" labelOnly="1" outline="0" fieldPosition="0"/>
    </format>
    <format dxfId="494">
      <pivotArea dataOnly="0" labelOnly="1" grandCol="1" outline="0" fieldPosition="0"/>
    </format>
    <format dxfId="493">
      <pivotArea outline="0" collapsedLevelsAreSubtotals="1" fieldPosition="0"/>
    </format>
    <format dxfId="492">
      <pivotArea type="topRight" dataOnly="0" labelOnly="1" outline="0" fieldPosition="0"/>
    </format>
    <format dxfId="491">
      <pivotArea dataOnly="0" labelOnly="1" grandCol="1" outline="0" fieldPosition="0"/>
    </format>
    <format dxfId="490">
      <pivotArea outline="0" collapsedLevelsAreSubtotals="1" fieldPosition="0"/>
    </format>
    <format dxfId="489">
      <pivotArea type="topRight" dataOnly="0" labelOnly="1" outline="0" fieldPosition="0"/>
    </format>
    <format dxfId="488">
      <pivotArea dataOnly="0" labelOnly="1" grandCol="1" outline="0" fieldPosition="0"/>
    </format>
    <format dxfId="487">
      <pivotArea dataOnly="0" fieldPosition="0">
        <references count="1">
          <reference field="17" count="1">
            <x v="1"/>
          </reference>
        </references>
      </pivotArea>
    </format>
    <format dxfId="486">
      <pivotArea dataOnly="0" fieldPosition="0">
        <references count="1">
          <reference field="17" count="1">
            <x v="2"/>
          </reference>
        </references>
      </pivotArea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483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482">
      <pivotArea dataOnly="0" labelOnly="1" grandRow="1" outline="0" fieldPosition="0"/>
    </format>
    <format dxfId="481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480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479">
      <pivotArea dataOnly="0" outline="0" fieldPosition="0">
        <references count="1">
          <reference field="17" count="0" defaultSubtotal="1"/>
        </references>
      </pivotArea>
    </format>
    <format dxfId="478">
      <pivotArea field="17" type="button" dataOnly="0" labelOnly="1" outline="0" axis="axisRow" fieldPosition="0"/>
    </format>
    <format dxfId="477">
      <pivotArea field="10" type="button" dataOnly="0" labelOnly="1" outline="0" axis="axisRow" fieldPosition="1"/>
    </format>
    <format dxfId="476">
      <pivotArea dataOnly="0" labelOnly="1" grandCol="1" outline="0" fieldPosition="0"/>
    </format>
    <format dxfId="475">
      <pivotArea field="17" type="button" dataOnly="0" labelOnly="1" outline="0" axis="axisRow" fieldPosition="0"/>
    </format>
    <format dxfId="474">
      <pivotArea field="10" type="button" dataOnly="0" labelOnly="1" outline="0" axis="axisRow" fieldPosition="1"/>
    </format>
    <format dxfId="473">
      <pivotArea field="12" type="button" dataOnly="0" labelOnly="1" outline="0" axis="axisRow" fieldPosition="2"/>
    </format>
    <format dxfId="472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71">
      <pivotArea dataOnly="0" labelOnly="1" grandCol="1" outline="0" fieldPosition="0"/>
    </format>
    <format dxfId="470">
      <pivotArea field="17" type="button" dataOnly="0" labelOnly="1" outline="0" axis="axisRow" fieldPosition="0"/>
    </format>
    <format dxfId="469">
      <pivotArea field="10" type="button" dataOnly="0" labelOnly="1" outline="0" axis="axisRow" fieldPosition="1"/>
    </format>
    <format dxfId="468">
      <pivotArea field="12" type="button" dataOnly="0" labelOnly="1" outline="0" axis="axisRow" fieldPosition="2"/>
    </format>
    <format dxfId="467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66">
      <pivotArea dataOnly="0" labelOnly="1" grandCol="1" outline="0" fieldPosition="0"/>
    </format>
    <format dxfId="465">
      <pivotArea field="17" type="button" dataOnly="0" labelOnly="1" outline="0" axis="axisRow" fieldPosition="0"/>
    </format>
    <format dxfId="464">
      <pivotArea field="10" type="button" dataOnly="0" labelOnly="1" outline="0" axis="axisRow" fieldPosition="1"/>
    </format>
    <format dxfId="463">
      <pivotArea field="12" type="button" dataOnly="0" labelOnly="1" outline="0" axis="axisRow" fieldPosition="2"/>
    </format>
    <format dxfId="462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61">
      <pivotArea dataOnly="0" labelOnly="1" grandCol="1" outline="0" fieldPosition="0"/>
    </format>
    <format dxfId="460">
      <pivotArea field="17" type="button" dataOnly="0" labelOnly="1" outline="0" axis="axisRow" fieldPosition="0"/>
    </format>
    <format dxfId="459">
      <pivotArea field="10" type="button" dataOnly="0" labelOnly="1" outline="0" axis="axisRow" fieldPosition="1"/>
    </format>
    <format dxfId="458">
      <pivotArea field="12" type="button" dataOnly="0" labelOnly="1" outline="0" axis="axisRow" fieldPosition="2"/>
    </format>
    <format dxfId="457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56">
      <pivotArea dataOnly="0" labelOnly="1" grandCol="1" outline="0" fieldPosition="0"/>
    </format>
    <format dxfId="455">
      <pivotArea field="17" type="button" dataOnly="0" labelOnly="1" outline="0" axis="axisRow" fieldPosition="0"/>
    </format>
    <format dxfId="454">
      <pivotArea field="10" type="button" dataOnly="0" labelOnly="1" outline="0" axis="axisRow" fieldPosition="1"/>
    </format>
    <format dxfId="453">
      <pivotArea field="12" type="button" dataOnly="0" labelOnly="1" outline="0" axis="axisRow" fieldPosition="2"/>
    </format>
    <format dxfId="452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51">
      <pivotArea dataOnly="0" labelOnly="1" grandCol="1" outline="0" fieldPosition="0"/>
    </format>
    <format dxfId="450">
      <pivotArea dataOnly="0" labelOnly="1" outline="0" fieldPosition="0">
        <references count="1">
          <reference field="11" count="1">
            <x v="8"/>
          </reference>
        </references>
      </pivotArea>
    </format>
    <format dxfId="449">
      <pivotArea dataOnly="0" labelOnly="1" outline="0" fieldPosition="0">
        <references count="1">
          <reference field="11" count="1">
            <x v="7"/>
          </reference>
        </references>
      </pivotArea>
    </format>
    <format dxfId="448">
      <pivotArea dataOnly="0" labelOnly="1" outline="0" fieldPosition="0">
        <references count="1">
          <reference field="11" count="1">
            <x v="6"/>
          </reference>
        </references>
      </pivotArea>
    </format>
    <format dxfId="447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446">
      <pivotArea dataOnly="0" labelOnly="1" outline="0" fieldPosition="0">
        <references count="1">
          <reference field="11" count="1">
            <x v="12"/>
          </reference>
        </references>
      </pivotArea>
    </format>
    <format dxfId="445">
      <pivotArea dataOnly="0" labelOnly="1" outline="0" fieldPosition="0">
        <references count="1">
          <reference field="11" count="1">
            <x v="3"/>
          </reference>
        </references>
      </pivotArea>
    </format>
    <format dxfId="444">
      <pivotArea dataOnly="0" labelOnly="1" outline="0" fieldPosition="0">
        <references count="1">
          <reference field="11" count="1">
            <x v="13"/>
          </reference>
        </references>
      </pivotArea>
    </format>
    <format dxfId="443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442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441">
      <pivotArea outline="0" collapsedLevelsAreSubtotals="1" fieldPosition="0">
        <references count="3">
          <reference field="10" count="1" selected="0">
            <x v="42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440">
      <pivotArea dataOnly="0" labelOnly="1" outline="0" fieldPosition="0">
        <references count="2">
          <reference field="10" count="1">
            <x v="42"/>
          </reference>
          <reference field="17" count="1" selected="0">
            <x v="1"/>
          </reference>
        </references>
      </pivotArea>
    </format>
    <format dxfId="439">
      <pivotArea dataOnly="0" labelOnly="1" outline="0" fieldPosition="0">
        <references count="3">
          <reference field="10" count="1" selected="0">
            <x v="42"/>
          </reference>
          <reference field="12" count="1">
            <x v="19"/>
          </reference>
          <reference field="17" count="1" selected="0">
            <x v="1"/>
          </reference>
        </references>
      </pivotArea>
    </format>
    <format dxfId="438">
      <pivotArea outline="0" collapsedLevelsAreSubtotals="1" fieldPosition="0">
        <references count="3">
          <reference field="10" count="1" selected="0">
            <x v="42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437">
      <pivotArea outline="0" collapsedLevelsAreSubtotals="1" fieldPosition="0"/>
    </format>
    <format dxfId="436">
      <pivotArea field="15" type="button" dataOnly="0" labelOnly="1" outline="0" axis="axisCol" fieldPosition="0"/>
    </format>
    <format dxfId="435">
      <pivotArea dataOnly="0" labelOnly="1" outline="0" fieldPosition="0">
        <references count="1">
          <reference field="15" count="1">
            <x v="3"/>
          </reference>
        </references>
      </pivotArea>
    </format>
    <format dxfId="434">
      <pivotArea dataOnly="0" labelOnly="1" outline="0" fieldPosition="0">
        <references count="2">
          <reference field="0" count="0"/>
          <reference field="15" count="1" selected="0">
            <x v="3"/>
          </reference>
        </references>
      </pivotArea>
    </format>
    <format dxfId="433">
      <pivotArea outline="0" collapsedLevelsAreSubtotals="1" fieldPosition="0"/>
    </format>
    <format dxfId="432">
      <pivotArea field="15" type="button" dataOnly="0" labelOnly="1" outline="0" axis="axisCol" fieldPosition="0"/>
    </format>
    <format dxfId="431">
      <pivotArea dataOnly="0" labelOnly="1" outline="0" fieldPosition="0">
        <references count="1">
          <reference field="15" count="1">
            <x v="3"/>
          </reference>
        </references>
      </pivotArea>
    </format>
    <format dxfId="430">
      <pivotArea dataOnly="0" labelOnly="1" outline="0" fieldPosition="0">
        <references count="2">
          <reference field="0" count="0"/>
          <reference field="15" count="1" selected="0">
            <x v="3"/>
          </reference>
        </references>
      </pivotArea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A6:G22" firstHeaderRow="1" firstDataRow="3" firstDataCol="3" rowPageCount="1" colPageCount="1"/>
  <pivotFields count="20">
    <pivotField axis="axisCol" compact="0" outline="0" multipleItemSelectionAllowed="1" showAll="0">
      <items count="9">
        <item h="1" x="1"/>
        <item x="0"/>
        <item h="1" x="2"/>
        <item h="1" x="3"/>
        <item h="1" x="4"/>
        <item h="1" x="5"/>
        <item h="1" x="7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Page" compact="0" outline="0" multipleItemSelectionAllowed="1" showAll="0" defaultSubtotal="0">
      <items count="16">
        <item h="1" x="1"/>
        <item h="1" x="8"/>
        <item h="1" x="2"/>
        <item x="13"/>
        <item h="1" x="6"/>
        <item h="1" x="9"/>
        <item h="1" x="3"/>
        <item h="1" x="4"/>
        <item h="1" x="5"/>
        <item h="1" x="7"/>
        <item h="1" x="0"/>
        <item h="1" x="10"/>
        <item h="1" x="11"/>
        <item h="1" x="12"/>
        <item h="1" x="14"/>
        <item h="1"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8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9"/>
        <item x="32"/>
        <item x="47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x="46"/>
        <item x="50"/>
      </items>
    </pivotField>
    <pivotField compact="0" outline="0" showAll="0" defaultSubtotal="0"/>
    <pivotField dataField="1" compact="0" outline="0" showAll="0"/>
    <pivotField axis="axisCol" compact="0" outline="0" multipleItemSelectionAllowed="1" showAll="0" defaultSubtotal="0">
      <items count="6">
        <item x="0"/>
        <item x="1"/>
        <item x="2"/>
        <item x="3"/>
        <item x="4"/>
        <item x="5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14">
    <i>
      <x v="1"/>
      <x v="32"/>
      <x v="45"/>
    </i>
    <i r="1">
      <x v="33"/>
      <x v="42"/>
    </i>
    <i r="1">
      <x v="34"/>
      <x v="41"/>
    </i>
    <i r="1">
      <x v="39"/>
      <x v="21"/>
    </i>
    <i r="1">
      <x v="46"/>
      <x v="10"/>
    </i>
    <i t="default">
      <x v="1"/>
    </i>
    <i>
      <x v="2"/>
      <x v="12"/>
      <x v="39"/>
    </i>
    <i r="1">
      <x v="17"/>
      <x v="14"/>
    </i>
    <i r="1">
      <x v="19"/>
      <x v="16"/>
    </i>
    <i r="1">
      <x v="21"/>
      <x v="28"/>
    </i>
    <i r="1">
      <x v="23"/>
      <x v="25"/>
    </i>
    <i r="1">
      <x v="45"/>
      <x v="30"/>
    </i>
    <i t="default">
      <x v="2"/>
    </i>
    <i t="grand">
      <x/>
    </i>
  </rowItems>
  <colFields count="2">
    <field x="15"/>
    <field x="0"/>
  </colFields>
  <colItems count="4">
    <i>
      <x v="2"/>
      <x v="1"/>
    </i>
    <i>
      <x v="3"/>
      <x v="1"/>
    </i>
    <i>
      <x v="4"/>
      <x v="1"/>
    </i>
    <i t="grand">
      <x/>
    </i>
  </colItems>
  <pageFields count="1">
    <pageField fld="11" hier="-1"/>
  </pageFields>
  <dataFields count="1">
    <dataField name="montant" fld="14" baseField="11" baseItem="0" numFmtId="3"/>
  </dataFields>
  <formats count="80">
    <format dxfId="588">
      <pivotArea dataOnly="0" grandRow="1" fieldPosition="0"/>
    </format>
    <format dxfId="587">
      <pivotArea type="topRight" dataOnly="0" labelOnly="1" outline="0" fieldPosition="0"/>
    </format>
    <format dxfId="586">
      <pivotArea field="-2" type="button" dataOnly="0" labelOnly="1" outline="0" axis="axisValues" fieldPosition="0"/>
    </format>
    <format dxfId="585">
      <pivotArea field="-2" type="button" dataOnly="0" labelOnly="1" outline="0" axis="axisValues" fieldPosition="0"/>
    </format>
    <format dxfId="584">
      <pivotArea field="-2" type="button" dataOnly="0" labelOnly="1" outline="0" axis="axisValues" fieldPosition="0"/>
    </format>
    <format dxfId="583">
      <pivotArea field="-2" type="button" dataOnly="0" labelOnly="1" outline="0" axis="axisValues" fieldPosition="0"/>
    </format>
    <format dxfId="582">
      <pivotArea type="topRight" dataOnly="0" labelOnly="1" outline="0" fieldPosition="0"/>
    </format>
    <format dxfId="581">
      <pivotArea grandCol="1" outline="0" collapsedLevelsAreSubtotals="1" fieldPosition="0"/>
    </format>
    <format dxfId="580">
      <pivotArea dataOnly="0" labelOnly="1" grandCol="1" outline="0" fieldPosition="0"/>
    </format>
    <format dxfId="579">
      <pivotArea dataOnly="0" labelOnly="1" grandCol="1" outline="0" fieldPosition="0"/>
    </format>
    <format dxfId="578">
      <pivotArea dataOnly="0" labelOnly="1" grandCol="1" outline="0" fieldPosition="0"/>
    </format>
    <format dxfId="577">
      <pivotArea type="topRight" dataOnly="0" labelOnly="1" outline="0" fieldPosition="0"/>
    </format>
    <format dxfId="576">
      <pivotArea outline="0" collapsedLevelsAreSubtotals="1" fieldPosition="0"/>
    </format>
    <format dxfId="575">
      <pivotArea type="topRight" dataOnly="0" labelOnly="1" outline="0" fieldPosition="0"/>
    </format>
    <format dxfId="574">
      <pivotArea dataOnly="0" labelOnly="1" grandCol="1" outline="0" fieldPosition="0"/>
    </format>
    <format dxfId="573">
      <pivotArea outline="0" collapsedLevelsAreSubtotals="1" fieldPosition="0"/>
    </format>
    <format dxfId="572">
      <pivotArea type="topRight" dataOnly="0" labelOnly="1" outline="0" fieldPosition="0"/>
    </format>
    <format dxfId="571">
      <pivotArea dataOnly="0" labelOnly="1" grandCol="1" outline="0" fieldPosition="0"/>
    </format>
    <format dxfId="570">
      <pivotArea outline="0" collapsedLevelsAreSubtotals="1" fieldPosition="0"/>
    </format>
    <format dxfId="569">
      <pivotArea type="topRight" dataOnly="0" labelOnly="1" outline="0" fieldPosition="0"/>
    </format>
    <format dxfId="568">
      <pivotArea dataOnly="0" labelOnly="1" grandCol="1" outline="0" fieldPosition="0"/>
    </format>
    <format dxfId="567">
      <pivotArea dataOnly="0" fieldPosition="0">
        <references count="1">
          <reference field="17" count="1">
            <x v="1"/>
          </reference>
        </references>
      </pivotArea>
    </format>
    <format dxfId="566">
      <pivotArea dataOnly="0" fieldPosition="0">
        <references count="1">
          <reference field="17" count="1">
            <x v="2"/>
          </reference>
        </references>
      </pivotArea>
    </format>
    <format dxfId="565">
      <pivotArea outline="0" collapsedLevelsAreSubtotals="1" fieldPosition="0"/>
    </format>
    <format dxfId="564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563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562">
      <pivotArea dataOnly="0" labelOnly="1" grandRow="1" outline="0" fieldPosition="0"/>
    </format>
    <format dxfId="561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560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559">
      <pivotArea dataOnly="0" outline="0" fieldPosition="0">
        <references count="1">
          <reference field="17" count="0" defaultSubtotal="1"/>
        </references>
      </pivotArea>
    </format>
    <format dxfId="558">
      <pivotArea field="17" type="button" dataOnly="0" labelOnly="1" outline="0" axis="axisRow" fieldPosition="0"/>
    </format>
    <format dxfId="557">
      <pivotArea field="10" type="button" dataOnly="0" labelOnly="1" outline="0" axis="axisRow" fieldPosition="1"/>
    </format>
    <format dxfId="556">
      <pivotArea dataOnly="0" labelOnly="1" grandCol="1" outline="0" fieldPosition="0"/>
    </format>
    <format dxfId="555">
      <pivotArea field="17" type="button" dataOnly="0" labelOnly="1" outline="0" axis="axisRow" fieldPosition="0"/>
    </format>
    <format dxfId="554">
      <pivotArea field="10" type="button" dataOnly="0" labelOnly="1" outline="0" axis="axisRow" fieldPosition="1"/>
    </format>
    <format dxfId="553">
      <pivotArea field="12" type="button" dataOnly="0" labelOnly="1" outline="0" axis="axisRow" fieldPosition="2"/>
    </format>
    <format dxfId="552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51">
      <pivotArea dataOnly="0" labelOnly="1" grandCol="1" outline="0" fieldPosition="0"/>
    </format>
    <format dxfId="550">
      <pivotArea field="17" type="button" dataOnly="0" labelOnly="1" outline="0" axis="axisRow" fieldPosition="0"/>
    </format>
    <format dxfId="549">
      <pivotArea field="10" type="button" dataOnly="0" labelOnly="1" outline="0" axis="axisRow" fieldPosition="1"/>
    </format>
    <format dxfId="548">
      <pivotArea field="12" type="button" dataOnly="0" labelOnly="1" outline="0" axis="axisRow" fieldPosition="2"/>
    </format>
    <format dxfId="547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46">
      <pivotArea dataOnly="0" labelOnly="1" grandCol="1" outline="0" fieldPosition="0"/>
    </format>
    <format dxfId="545">
      <pivotArea field="17" type="button" dataOnly="0" labelOnly="1" outline="0" axis="axisRow" fieldPosition="0"/>
    </format>
    <format dxfId="544">
      <pivotArea field="10" type="button" dataOnly="0" labelOnly="1" outline="0" axis="axisRow" fieldPosition="1"/>
    </format>
    <format dxfId="543">
      <pivotArea field="12" type="button" dataOnly="0" labelOnly="1" outline="0" axis="axisRow" fieldPosition="2"/>
    </format>
    <format dxfId="542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41">
      <pivotArea dataOnly="0" labelOnly="1" grandCol="1" outline="0" fieldPosition="0"/>
    </format>
    <format dxfId="540">
      <pivotArea field="17" type="button" dataOnly="0" labelOnly="1" outline="0" axis="axisRow" fieldPosition="0"/>
    </format>
    <format dxfId="539">
      <pivotArea field="10" type="button" dataOnly="0" labelOnly="1" outline="0" axis="axisRow" fieldPosition="1"/>
    </format>
    <format dxfId="538">
      <pivotArea field="12" type="button" dataOnly="0" labelOnly="1" outline="0" axis="axisRow" fieldPosition="2"/>
    </format>
    <format dxfId="537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36">
      <pivotArea dataOnly="0" labelOnly="1" grandCol="1" outline="0" fieldPosition="0"/>
    </format>
    <format dxfId="535">
      <pivotArea field="17" type="button" dataOnly="0" labelOnly="1" outline="0" axis="axisRow" fieldPosition="0"/>
    </format>
    <format dxfId="534">
      <pivotArea field="10" type="button" dataOnly="0" labelOnly="1" outline="0" axis="axisRow" fieldPosition="1"/>
    </format>
    <format dxfId="533">
      <pivotArea field="12" type="button" dataOnly="0" labelOnly="1" outline="0" axis="axisRow" fieldPosition="2"/>
    </format>
    <format dxfId="532">
      <pivotArea dataOnly="0" labelOnly="1" outline="0" fieldPosition="0">
        <references count="1">
          <reference field="11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31">
      <pivotArea dataOnly="0" labelOnly="1" grandCol="1" outline="0" fieldPosition="0"/>
    </format>
    <format dxfId="530">
      <pivotArea dataOnly="0" labelOnly="1" outline="0" fieldPosition="0">
        <references count="1">
          <reference field="11" count="1">
            <x v="8"/>
          </reference>
        </references>
      </pivotArea>
    </format>
    <format dxfId="529">
      <pivotArea dataOnly="0" labelOnly="1" outline="0" fieldPosition="0">
        <references count="1">
          <reference field="11" count="1">
            <x v="7"/>
          </reference>
        </references>
      </pivotArea>
    </format>
    <format dxfId="528">
      <pivotArea dataOnly="0" labelOnly="1" outline="0" fieldPosition="0">
        <references count="1">
          <reference field="11" count="1">
            <x v="6"/>
          </reference>
        </references>
      </pivotArea>
    </format>
    <format dxfId="527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526">
      <pivotArea dataOnly="0" labelOnly="1" outline="0" fieldPosition="0">
        <references count="1">
          <reference field="11" count="1">
            <x v="12"/>
          </reference>
        </references>
      </pivotArea>
    </format>
    <format dxfId="525">
      <pivotArea dataOnly="0" labelOnly="1" outline="0" fieldPosition="0">
        <references count="1">
          <reference field="11" count="1">
            <x v="3"/>
          </reference>
        </references>
      </pivotArea>
    </format>
    <format dxfId="524">
      <pivotArea dataOnly="0" labelOnly="1" outline="0" fieldPosition="0">
        <references count="1">
          <reference field="11" count="1">
            <x v="13"/>
          </reference>
        </references>
      </pivotArea>
    </format>
    <format dxfId="523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522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521">
      <pivotArea grandCol="1" outline="0" collapsedLevelsAreSubtotals="1" fieldPosition="0"/>
    </format>
    <format dxfId="520">
      <pivotArea grandCol="1" outline="0" collapsedLevelsAreSubtotals="1" fieldPosition="0"/>
    </format>
    <format dxfId="519">
      <pivotArea dataOnly="0" grandRow="1" outline="0" fieldPosition="0"/>
    </format>
    <format dxfId="518">
      <pivotArea outline="0" collapsedLevelsAreSubtotals="1" fieldPosition="0">
        <references count="2">
          <reference field="0" count="0" selected="0"/>
          <reference field="15" count="1" selected="0">
            <x v="2"/>
          </reference>
        </references>
      </pivotArea>
    </format>
    <format dxfId="517">
      <pivotArea field="15" type="button" dataOnly="0" labelOnly="1" outline="0" axis="axisCol" fieldPosition="0"/>
    </format>
    <format dxfId="516">
      <pivotArea dataOnly="0" labelOnly="1" outline="0" fieldPosition="0">
        <references count="1">
          <reference field="15" count="1">
            <x v="2"/>
          </reference>
        </references>
      </pivotArea>
    </format>
    <format dxfId="515">
      <pivotArea dataOnly="0" labelOnly="1" outline="0" fieldPosition="0">
        <references count="2">
          <reference field="0" count="0"/>
          <reference field="15" count="1" selected="0">
            <x v="2"/>
          </reference>
        </references>
      </pivotArea>
    </format>
    <format dxfId="514">
      <pivotArea outline="0" collapsedLevelsAreSubtotals="1" fieldPosition="0">
        <references count="2">
          <reference field="0" count="0" selected="0"/>
          <reference field="15" count="1" selected="0">
            <x v="2"/>
          </reference>
        </references>
      </pivotArea>
    </format>
    <format dxfId="513">
      <pivotArea field="15" type="button" dataOnly="0" labelOnly="1" outline="0" axis="axisCol" fieldPosition="0"/>
    </format>
    <format dxfId="512">
      <pivotArea dataOnly="0" labelOnly="1" outline="0" fieldPosition="0">
        <references count="1">
          <reference field="15" count="1">
            <x v="2"/>
          </reference>
        </references>
      </pivotArea>
    </format>
    <format dxfId="511">
      <pivotArea dataOnly="0" labelOnly="1" outline="0" fieldPosition="0">
        <references count="2">
          <reference field="0" count="0"/>
          <reference field="15" count="1" selected="0">
            <x v="2"/>
          </reference>
        </references>
      </pivotArea>
    </format>
    <format dxfId="510">
      <pivotArea outline="0" collapsedLevelsAreSubtotals="1" fieldPosition="0">
        <references count="5">
          <reference field="0" count="0" selected="0"/>
          <reference field="10" count="1" selected="0">
            <x v="17"/>
          </reference>
          <reference field="12" count="1" selected="0">
            <x v="14"/>
          </reference>
          <reference field="15" count="1" selected="0">
            <x v="2"/>
          </reference>
          <reference field="17" count="1" selected="0">
            <x v="2"/>
          </reference>
        </references>
      </pivotArea>
    </format>
    <format dxfId="509">
      <pivotArea outline="0" collapsedLevelsAreSubtotals="1" fieldPosition="0">
        <references count="5">
          <reference field="0" count="0" selected="0"/>
          <reference field="10" count="1" selected="0">
            <x v="17"/>
          </reference>
          <reference field="12" count="1" selected="0">
            <x v="14"/>
          </reference>
          <reference field="15" count="1" selected="0">
            <x v="2"/>
          </reference>
          <reference field="17" count="1" selected="0">
            <x v="2"/>
          </reference>
        </references>
      </pivotArea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A6:G26" firstHeaderRow="1" firstDataRow="2" firstDataCol="3" rowPageCount="2" colPageCount="1"/>
  <pivotFields count="20">
    <pivotField axis="axisPage" compact="0" outline="0" multipleItemSelectionAllowed="1" showAll="0">
      <items count="9">
        <item h="1" x="1"/>
        <item x="0"/>
        <item h="1" x="2"/>
        <item h="1" x="3"/>
        <item h="1" x="7"/>
        <item h="1" x="4"/>
        <item h="1" x="5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Col" compact="0" outline="0" showAll="0" defaultSubtotal="0">
      <items count="17">
        <item x="1"/>
        <item x="8"/>
        <item x="13"/>
        <item x="2"/>
        <item x="6"/>
        <item x="9"/>
        <item x="3"/>
        <item x="4"/>
        <item x="5"/>
        <item x="7"/>
        <item x="0"/>
        <item x="10"/>
        <item x="11"/>
        <item x="12"/>
        <item x="16"/>
        <item x="14"/>
        <item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m="1" x="50"/>
        <item x="49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7">
        <item h="1" x="0"/>
        <item h="1" x="1"/>
        <item h="1" x="2"/>
        <item h="1" x="3"/>
        <item h="1" x="5"/>
        <item x="4"/>
        <item t="default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19">
    <i>
      <x v="1"/>
      <x v="32"/>
      <x v="45"/>
    </i>
    <i r="1">
      <x v="33"/>
      <x v="42"/>
    </i>
    <i r="1">
      <x v="35"/>
      <x v="43"/>
    </i>
    <i r="1">
      <x v="38"/>
      <x v="4"/>
    </i>
    <i r="1">
      <x v="39"/>
      <x v="21"/>
    </i>
    <i r="1">
      <x v="40"/>
      <x v="37"/>
    </i>
    <i r="1">
      <x v="41"/>
      <x v="36"/>
    </i>
    <i r="1">
      <x v="42"/>
      <x v="19"/>
    </i>
    <i t="default">
      <x v="1"/>
    </i>
    <i>
      <x v="2"/>
      <x v="9"/>
      <x v="7"/>
    </i>
    <i r="1">
      <x v="12"/>
      <x v="39"/>
    </i>
    <i r="1">
      <x v="14"/>
      <x v="5"/>
    </i>
    <i r="1">
      <x v="17"/>
      <x v="14"/>
    </i>
    <i r="1">
      <x v="19"/>
      <x v="16"/>
    </i>
    <i r="1">
      <x v="20"/>
      <x v="27"/>
    </i>
    <i r="1">
      <x v="21"/>
      <x v="28"/>
    </i>
    <i r="1">
      <x v="23"/>
      <x v="25"/>
    </i>
    <i t="default">
      <x v="2"/>
    </i>
    <i t="grand">
      <x/>
    </i>
  </rowItems>
  <colFields count="1">
    <field x="11"/>
  </colFields>
  <colItems count="4">
    <i>
      <x/>
    </i>
    <i>
      <x v="2"/>
    </i>
    <i>
      <x v="16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73">
    <format dxfId="360">
      <pivotArea dataOnly="0" grandRow="1" fieldPosition="0"/>
    </format>
    <format dxfId="359">
      <pivotArea type="topRight" dataOnly="0" labelOnly="1" outline="0" fieldPosition="0"/>
    </format>
    <format dxfId="358">
      <pivotArea field="-2" type="button" dataOnly="0" labelOnly="1" outline="0" axis="axisValues" fieldPosition="0"/>
    </format>
    <format dxfId="357">
      <pivotArea field="-2" type="button" dataOnly="0" labelOnly="1" outline="0" axis="axisValues" fieldPosition="0"/>
    </format>
    <format dxfId="356">
      <pivotArea field="-2" type="button" dataOnly="0" labelOnly="1" outline="0" axis="axisValues" fieldPosition="0"/>
    </format>
    <format dxfId="355">
      <pivotArea field="-2" type="button" dataOnly="0" labelOnly="1" outline="0" axis="axisValues" fieldPosition="0"/>
    </format>
    <format dxfId="354">
      <pivotArea type="topRight" dataOnly="0" labelOnly="1" outline="0" fieldPosition="0"/>
    </format>
    <format dxfId="353">
      <pivotArea grandCol="1" outline="0" collapsedLevelsAreSubtotals="1" fieldPosition="0"/>
    </format>
    <format dxfId="352">
      <pivotArea dataOnly="0" labelOnly="1" grandCol="1" outline="0" fieldPosition="0"/>
    </format>
    <format dxfId="351">
      <pivotArea dataOnly="0" labelOnly="1" grandCol="1" outline="0" fieldPosition="0"/>
    </format>
    <format dxfId="350">
      <pivotArea dataOnly="0" labelOnly="1" grandCol="1" outline="0" fieldPosition="0"/>
    </format>
    <format dxfId="349">
      <pivotArea type="topRight" dataOnly="0" labelOnly="1" outline="0" fieldPosition="0"/>
    </format>
    <format dxfId="348">
      <pivotArea outline="0" collapsedLevelsAreSubtotals="1" fieldPosition="0"/>
    </format>
    <format dxfId="347">
      <pivotArea type="topRight" dataOnly="0" labelOnly="1" outline="0" fieldPosition="0"/>
    </format>
    <format dxfId="346">
      <pivotArea dataOnly="0" labelOnly="1" grandCol="1" outline="0" fieldPosition="0"/>
    </format>
    <format dxfId="345">
      <pivotArea outline="0" collapsedLevelsAreSubtotals="1" fieldPosition="0"/>
    </format>
    <format dxfId="344">
      <pivotArea type="topRight" dataOnly="0" labelOnly="1" outline="0" fieldPosition="0"/>
    </format>
    <format dxfId="343">
      <pivotArea dataOnly="0" labelOnly="1" grandCol="1" outline="0" fieldPosition="0"/>
    </format>
    <format dxfId="342">
      <pivotArea outline="0" collapsedLevelsAreSubtotals="1" fieldPosition="0"/>
    </format>
    <format dxfId="341">
      <pivotArea type="topRight" dataOnly="0" labelOnly="1" outline="0" fieldPosition="0"/>
    </format>
    <format dxfId="340">
      <pivotArea dataOnly="0" labelOnly="1" grandCol="1" outline="0" fieldPosition="0"/>
    </format>
    <format dxfId="339">
      <pivotArea dataOnly="0" fieldPosition="0">
        <references count="1">
          <reference field="17" count="1">
            <x v="1"/>
          </reference>
        </references>
      </pivotArea>
    </format>
    <format dxfId="338">
      <pivotArea dataOnly="0" fieldPosition="0">
        <references count="1">
          <reference field="17" count="1">
            <x v="2"/>
          </reference>
        </references>
      </pivotArea>
    </format>
    <format dxfId="337">
      <pivotArea outline="0" collapsedLevelsAreSubtotals="1" fieldPosition="0"/>
    </format>
    <format dxfId="336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335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334">
      <pivotArea dataOnly="0" labelOnly="1" grandRow="1" outline="0" fieldPosition="0"/>
    </format>
    <format dxfId="333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331">
      <pivotArea dataOnly="0" outline="0" fieldPosition="0">
        <references count="1">
          <reference field="17" count="0" defaultSubtotal="1"/>
        </references>
      </pivotArea>
    </format>
    <format dxfId="330">
      <pivotArea field="17" type="button" dataOnly="0" labelOnly="1" outline="0" axis="axisRow" fieldPosition="0"/>
    </format>
    <format dxfId="329">
      <pivotArea field="10" type="button" dataOnly="0" labelOnly="1" outline="0" axis="axisRow" fieldPosition="1"/>
    </format>
    <format dxfId="328">
      <pivotArea dataOnly="0" labelOnly="1" grandCol="1" outline="0" fieldPosition="0"/>
    </format>
    <format dxfId="327">
      <pivotArea field="17" type="button" dataOnly="0" labelOnly="1" outline="0" axis="axisRow" fieldPosition="0"/>
    </format>
    <format dxfId="326">
      <pivotArea field="10" type="button" dataOnly="0" labelOnly="1" outline="0" axis="axisRow" fieldPosition="1"/>
    </format>
    <format dxfId="325">
      <pivotArea field="12" type="button" dataOnly="0" labelOnly="1" outline="0" axis="axisRow" fieldPosition="2"/>
    </format>
    <format dxfId="324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23">
      <pivotArea dataOnly="0" labelOnly="1" grandCol="1" outline="0" fieldPosition="0"/>
    </format>
    <format dxfId="322">
      <pivotArea field="17" type="button" dataOnly="0" labelOnly="1" outline="0" axis="axisRow" fieldPosition="0"/>
    </format>
    <format dxfId="321">
      <pivotArea field="10" type="button" dataOnly="0" labelOnly="1" outline="0" axis="axisRow" fieldPosition="1"/>
    </format>
    <format dxfId="320">
      <pivotArea field="12" type="button" dataOnly="0" labelOnly="1" outline="0" axis="axisRow" fieldPosition="2"/>
    </format>
    <format dxfId="319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18">
      <pivotArea dataOnly="0" labelOnly="1" grandCol="1" outline="0" fieldPosition="0"/>
    </format>
    <format dxfId="317">
      <pivotArea field="17" type="button" dataOnly="0" labelOnly="1" outline="0" axis="axisRow" fieldPosition="0"/>
    </format>
    <format dxfId="316">
      <pivotArea field="10" type="button" dataOnly="0" labelOnly="1" outline="0" axis="axisRow" fieldPosition="1"/>
    </format>
    <format dxfId="315">
      <pivotArea field="12" type="button" dataOnly="0" labelOnly="1" outline="0" axis="axisRow" fieldPosition="2"/>
    </format>
    <format dxfId="314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13">
      <pivotArea dataOnly="0" labelOnly="1" grandCol="1" outline="0" fieldPosition="0"/>
    </format>
    <format dxfId="312">
      <pivotArea field="17" type="button" dataOnly="0" labelOnly="1" outline="0" axis="axisRow" fieldPosition="0"/>
    </format>
    <format dxfId="311">
      <pivotArea field="10" type="button" dataOnly="0" labelOnly="1" outline="0" axis="axisRow" fieldPosition="1"/>
    </format>
    <format dxfId="310">
      <pivotArea field="12" type="button" dataOnly="0" labelOnly="1" outline="0" axis="axisRow" fieldPosition="2"/>
    </format>
    <format dxfId="309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08">
      <pivotArea dataOnly="0" labelOnly="1" grandCol="1" outline="0" fieldPosition="0"/>
    </format>
    <format dxfId="307">
      <pivotArea field="17" type="button" dataOnly="0" labelOnly="1" outline="0" axis="axisRow" fieldPosition="0"/>
    </format>
    <format dxfId="306">
      <pivotArea field="10" type="button" dataOnly="0" labelOnly="1" outline="0" axis="axisRow" fieldPosition="1"/>
    </format>
    <format dxfId="305">
      <pivotArea field="12" type="button" dataOnly="0" labelOnly="1" outline="0" axis="axisRow" fieldPosition="2"/>
    </format>
    <format dxfId="304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03">
      <pivotArea dataOnly="0" labelOnly="1" grandCol="1" outline="0" fieldPosition="0"/>
    </format>
    <format dxfId="302">
      <pivotArea dataOnly="0" labelOnly="1" outline="0" fieldPosition="0">
        <references count="1">
          <reference field="11" count="1">
            <x v="8"/>
          </reference>
        </references>
      </pivotArea>
    </format>
    <format dxfId="301">
      <pivotArea dataOnly="0" labelOnly="1" outline="0" fieldPosition="0">
        <references count="1">
          <reference field="11" count="1">
            <x v="7"/>
          </reference>
        </references>
      </pivotArea>
    </format>
    <format dxfId="300">
      <pivotArea dataOnly="0" labelOnly="1" outline="0" fieldPosition="0">
        <references count="1">
          <reference field="11" count="1">
            <x v="6"/>
          </reference>
        </references>
      </pivotArea>
    </format>
    <format dxfId="299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298">
      <pivotArea dataOnly="0" labelOnly="1" outline="0" fieldPosition="0">
        <references count="1">
          <reference field="11" count="1">
            <x v="12"/>
          </reference>
        </references>
      </pivotArea>
    </format>
    <format dxfId="297">
      <pivotArea dataOnly="0" labelOnly="1" outline="0" fieldPosition="0">
        <references count="1">
          <reference field="11" count="1">
            <x v="2"/>
          </reference>
        </references>
      </pivotArea>
    </format>
    <format dxfId="296">
      <pivotArea dataOnly="0" labelOnly="1" outline="0" fieldPosition="0">
        <references count="1">
          <reference field="11" count="1">
            <x v="13"/>
          </reference>
        </references>
      </pivotArea>
    </format>
    <format dxfId="295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294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293">
      <pivotArea outline="0" collapsedLevelsAreSubtotals="1" fieldPosition="0">
        <references count="4">
          <reference field="10" count="1" selected="0">
            <x v="42"/>
          </reference>
          <reference field="11" count="2" selected="0">
            <x v="0"/>
            <x v="2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292">
      <pivotArea outline="0" collapsedLevelsAreSubtotals="1" fieldPosition="0">
        <references count="4">
          <reference field="10" count="1" selected="0">
            <x v="42"/>
          </reference>
          <reference field="11" count="2" selected="0">
            <x v="0"/>
            <x v="2"/>
          </reference>
          <reference field="12" count="1" selected="0">
            <x v="19"/>
          </reference>
          <reference field="17" count="1" selected="0">
            <x v="1"/>
          </reference>
        </references>
      </pivotArea>
    </format>
    <format dxfId="291">
      <pivotArea dataOnly="0" labelOnly="1" outline="0" fieldPosition="0">
        <references count="1">
          <reference field="11" count="1">
            <x v="15"/>
          </reference>
        </references>
      </pivotArea>
    </format>
    <format dxfId="290">
      <pivotArea dataOnly="0" labelOnly="1" outline="0" fieldPosition="0">
        <references count="1">
          <reference field="11" count="1">
            <x v="16"/>
          </reference>
        </references>
      </pivotArea>
    </format>
    <format dxfId="289">
      <pivotArea grandRow="1" outline="0" collapsedLevelsAreSubtotals="1" fieldPosition="0"/>
    </format>
    <format dxfId="288">
      <pivotArea dataOnly="0" labelOnly="1" grandRow="1" outline="0" fieldPosition="0"/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updatedVersion="6" minRefreshableVersion="3" itemPrintTitles="1" createdVersion="6" indent="0" compact="0" compactData="0" multipleFieldFilters="0">
  <location ref="I6:O33" firstHeaderRow="1" firstDataRow="2" firstDataCol="3" rowPageCount="2" colPageCount="1"/>
  <pivotFields count="20">
    <pivotField axis="axisPage" compact="0" outline="0" multipleItemSelectionAllowed="1" showAll="0">
      <items count="9">
        <item h="1" x="1"/>
        <item h="1" x="0"/>
        <item x="2"/>
        <item x="3"/>
        <item h="1" x="7"/>
        <item x="4"/>
        <item x="5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9">
        <item x="45"/>
        <item x="36"/>
        <item x="30"/>
        <item x="0"/>
        <item x="33"/>
        <item x="29"/>
        <item x="13"/>
        <item x="8"/>
        <item x="6"/>
        <item x="28"/>
        <item x="19"/>
        <item x="20"/>
        <item x="18"/>
        <item x="37"/>
        <item x="5"/>
        <item x="14"/>
        <item x="32"/>
        <item x="15"/>
        <item x="26"/>
        <item x="16"/>
        <item x="27"/>
        <item x="2"/>
        <item x="17"/>
        <item x="25"/>
        <item x="31"/>
        <item x="1"/>
        <item x="3"/>
        <item x="38"/>
        <item x="39"/>
        <item x="35"/>
        <item x="21"/>
        <item x="22"/>
        <item x="24"/>
        <item x="23"/>
        <item x="40"/>
        <item x="43"/>
        <item x="44"/>
        <item x="34"/>
        <item x="7"/>
        <item x="47"/>
        <item x="42"/>
        <item x="41"/>
        <item x="4"/>
        <item x="46"/>
        <item x="11"/>
        <item x="12"/>
        <item x="9"/>
        <item x="10"/>
        <item x="48"/>
      </items>
    </pivotField>
    <pivotField axis="axisCol" compact="0" outline="0" showAll="0" defaultSubtotal="0">
      <items count="17">
        <item x="1"/>
        <item x="8"/>
        <item x="13"/>
        <item x="2"/>
        <item x="6"/>
        <item x="9"/>
        <item x="3"/>
        <item x="4"/>
        <item x="5"/>
        <item x="7"/>
        <item x="0"/>
        <item x="10"/>
        <item x="11"/>
        <item x="12"/>
        <item x="16"/>
        <item x="14"/>
        <item x="15"/>
      </items>
    </pivotField>
    <pivotField axis="axisRow" compact="0" outline="0" showAll="0" sortType="ascending" defaultSubtotal="0">
      <items count="51">
        <item x="20"/>
        <item x="19"/>
        <item x="1"/>
        <item x="3"/>
        <item x="7"/>
        <item x="5"/>
        <item x="39"/>
        <item x="28"/>
        <item x="47"/>
        <item x="0"/>
        <item x="9"/>
        <item x="29"/>
        <item x="30"/>
        <item x="35"/>
        <item x="15"/>
        <item x="36"/>
        <item x="16"/>
        <item x="31"/>
        <item x="14"/>
        <item x="4"/>
        <item x="37"/>
        <item x="48"/>
        <item x="32"/>
        <item x="46"/>
        <item x="13"/>
        <item x="25"/>
        <item x="6"/>
        <item x="27"/>
        <item x="2"/>
        <item x="33"/>
        <item x="12"/>
        <item x="11"/>
        <item x="10"/>
        <item x="8"/>
        <item x="21"/>
        <item x="22"/>
        <item x="41"/>
        <item x="42"/>
        <item x="38"/>
        <item x="18"/>
        <item x="45"/>
        <item x="40"/>
        <item x="23"/>
        <item x="44"/>
        <item x="43"/>
        <item x="24"/>
        <item x="34"/>
        <item x="17"/>
        <item x="26"/>
        <item m="1" x="50"/>
        <item x="49"/>
      </items>
    </pivotField>
    <pivotField compact="0" outline="0" showAll="0" defaultSubtotal="0"/>
    <pivotField dataField="1" compact="0" outline="0" showAll="0"/>
    <pivotField axis="axisPage" compact="0" outline="0" multipleItemSelectionAllowed="1" showAll="0">
      <items count="7">
        <item h="1" x="0"/>
        <item h="1" x="1"/>
        <item h="1" x="2"/>
        <item h="1" x="3"/>
        <item h="1" x="5"/>
        <item x="4"/>
        <item t="default"/>
      </items>
    </pivotField>
    <pivotField compact="0" outline="0" showAll="0"/>
    <pivotField axis="axisRow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</pivotFields>
  <rowFields count="3">
    <field x="17"/>
    <field x="10"/>
    <field x="12"/>
  </rowFields>
  <rowItems count="26">
    <i>
      <x v="1"/>
      <x v="32"/>
      <x v="45"/>
    </i>
    <i r="1">
      <x v="33"/>
      <x v="42"/>
    </i>
    <i r="1">
      <x v="34"/>
      <x v="41"/>
    </i>
    <i r="1">
      <x v="35"/>
      <x v="43"/>
    </i>
    <i r="1">
      <x v="36"/>
      <x v="40"/>
    </i>
    <i r="1">
      <x v="37"/>
      <x v="44"/>
    </i>
    <i r="1">
      <x v="38"/>
      <x v="4"/>
    </i>
    <i r="1">
      <x v="40"/>
      <x v="37"/>
    </i>
    <i r="1">
      <x v="41"/>
      <x v="36"/>
    </i>
    <i r="1">
      <x v="42"/>
      <x v="19"/>
    </i>
    <i r="1">
      <x v="43"/>
      <x v="8"/>
    </i>
    <i r="1">
      <x v="47"/>
      <x v="32"/>
    </i>
    <i t="default">
      <x v="1"/>
    </i>
    <i>
      <x v="2"/>
      <x v="7"/>
      <x v="33"/>
    </i>
    <i r="1">
      <x v="8"/>
      <x v="26"/>
    </i>
    <i r="1">
      <x v="12"/>
      <x v="39"/>
    </i>
    <i r="1">
      <x v="14"/>
      <x v="5"/>
    </i>
    <i r="1">
      <x v="16"/>
      <x v="22"/>
    </i>
    <i r="1">
      <x v="17"/>
      <x v="14"/>
    </i>
    <i r="1">
      <x v="19"/>
      <x v="16"/>
    </i>
    <i r="1">
      <x v="20"/>
      <x v="27"/>
    </i>
    <i r="1">
      <x v="21"/>
      <x v="28"/>
    </i>
    <i r="1">
      <x v="25"/>
      <x v="2"/>
    </i>
    <i r="1">
      <x v="44"/>
      <x v="31"/>
    </i>
    <i t="default">
      <x v="2"/>
    </i>
    <i t="grand">
      <x/>
    </i>
  </rowItems>
  <colFields count="1">
    <field x="11"/>
  </colFields>
  <colItems count="4">
    <i>
      <x/>
    </i>
    <i>
      <x v="2"/>
    </i>
    <i>
      <x v="15"/>
    </i>
    <i t="grand">
      <x/>
    </i>
  </colItems>
  <pageFields count="2">
    <pageField fld="0" hier="-1"/>
    <pageField fld="15" hier="-1"/>
  </pageFields>
  <dataFields count="1">
    <dataField name="montant" fld="14" baseField="11" baseItem="0" numFmtId="3"/>
  </dataFields>
  <formats count="69">
    <format dxfId="429">
      <pivotArea dataOnly="0" grandRow="1" fieldPosition="0"/>
    </format>
    <format dxfId="428">
      <pivotArea type="topRight" dataOnly="0" labelOnly="1" outline="0" fieldPosition="0"/>
    </format>
    <format dxfId="427">
      <pivotArea field="-2" type="button" dataOnly="0" labelOnly="1" outline="0" axis="axisValues" fieldPosition="0"/>
    </format>
    <format dxfId="426">
      <pivotArea field="-2" type="button" dataOnly="0" labelOnly="1" outline="0" axis="axisValues" fieldPosition="0"/>
    </format>
    <format dxfId="425">
      <pivotArea field="-2" type="button" dataOnly="0" labelOnly="1" outline="0" axis="axisValues" fieldPosition="0"/>
    </format>
    <format dxfId="424">
      <pivotArea field="-2" type="button" dataOnly="0" labelOnly="1" outline="0" axis="axisValues" fieldPosition="0"/>
    </format>
    <format dxfId="423">
      <pivotArea type="topRight" dataOnly="0" labelOnly="1" outline="0" fieldPosition="0"/>
    </format>
    <format dxfId="422">
      <pivotArea grandCol="1" outline="0" collapsedLevelsAreSubtotals="1" fieldPosition="0"/>
    </format>
    <format dxfId="421">
      <pivotArea dataOnly="0" labelOnly="1" grandCol="1" outline="0" fieldPosition="0"/>
    </format>
    <format dxfId="420">
      <pivotArea dataOnly="0" labelOnly="1" grandCol="1" outline="0" fieldPosition="0"/>
    </format>
    <format dxfId="419">
      <pivotArea dataOnly="0" labelOnly="1" grandCol="1" outline="0" fieldPosition="0"/>
    </format>
    <format dxfId="418">
      <pivotArea type="topRight" dataOnly="0" labelOnly="1" outline="0" fieldPosition="0"/>
    </format>
    <format dxfId="417">
      <pivotArea outline="0" collapsedLevelsAreSubtotals="1" fieldPosition="0"/>
    </format>
    <format dxfId="416">
      <pivotArea type="topRight" dataOnly="0" labelOnly="1" outline="0" fieldPosition="0"/>
    </format>
    <format dxfId="415">
      <pivotArea dataOnly="0" labelOnly="1" grandCol="1" outline="0" fieldPosition="0"/>
    </format>
    <format dxfId="414">
      <pivotArea outline="0" collapsedLevelsAreSubtotals="1" fieldPosition="0"/>
    </format>
    <format dxfId="413">
      <pivotArea type="topRight" dataOnly="0" labelOnly="1" outline="0" fieldPosition="0"/>
    </format>
    <format dxfId="412">
      <pivotArea dataOnly="0" labelOnly="1" grandCol="1" outline="0" fieldPosition="0"/>
    </format>
    <format dxfId="411">
      <pivotArea outline="0" collapsedLevelsAreSubtotals="1" fieldPosition="0"/>
    </format>
    <format dxfId="410">
      <pivotArea type="topRight" dataOnly="0" labelOnly="1" outline="0" fieldPosition="0"/>
    </format>
    <format dxfId="409">
      <pivotArea dataOnly="0" labelOnly="1" grandCol="1" outline="0" fieldPosition="0"/>
    </format>
    <format dxfId="408">
      <pivotArea dataOnly="0" fieldPosition="0">
        <references count="1">
          <reference field="17" count="1">
            <x v="1"/>
          </reference>
        </references>
      </pivotArea>
    </format>
    <format dxfId="407">
      <pivotArea dataOnly="0" fieldPosition="0">
        <references count="1">
          <reference field="17" count="1">
            <x v="2"/>
          </reference>
        </references>
      </pivotArea>
    </format>
    <format dxfId="406">
      <pivotArea outline="0" collapsedLevelsAreSubtotals="1" fieldPosition="0"/>
    </format>
    <format dxfId="405">
      <pivotArea dataOnly="0" labelOnly="1" outline="0" fieldPosition="0">
        <references count="1">
          <reference field="17" count="2">
            <x v="1"/>
            <x v="2"/>
          </reference>
        </references>
      </pivotArea>
    </format>
    <format dxfId="404">
      <pivotArea dataOnly="0" labelOnly="1" outline="0" fieldPosition="0">
        <references count="1">
          <reference field="17" count="2" defaultSubtotal="1">
            <x v="1"/>
            <x v="2"/>
          </reference>
        </references>
      </pivotArea>
    </format>
    <format dxfId="403">
      <pivotArea dataOnly="0" labelOnly="1" grandRow="1" outline="0" fieldPosition="0"/>
    </format>
    <format dxfId="402">
      <pivotArea dataOnly="0" labelOnly="1" outline="0" fieldPosition="0">
        <references count="2">
          <reference field="10" count="4">
            <x v="32"/>
            <x v="37"/>
            <x v="38"/>
            <x v="42"/>
          </reference>
          <reference field="17" count="1" selected="0">
            <x v="1"/>
          </reference>
        </references>
      </pivotArea>
    </format>
    <format dxfId="401">
      <pivotArea dataOnly="0" labelOnly="1" outline="0" fieldPosition="0">
        <references count="2">
          <reference field="10" count="12">
            <x v="7"/>
            <x v="8"/>
            <x v="10"/>
            <x v="11"/>
            <x v="12"/>
            <x v="14"/>
            <x v="17"/>
            <x v="20"/>
            <x v="21"/>
            <x v="22"/>
            <x v="23"/>
            <x v="25"/>
          </reference>
          <reference field="17" count="1" selected="0">
            <x v="2"/>
          </reference>
        </references>
      </pivotArea>
    </format>
    <format dxfId="400">
      <pivotArea dataOnly="0" outline="0" fieldPosition="0">
        <references count="1">
          <reference field="17" count="0" defaultSubtotal="1"/>
        </references>
      </pivotArea>
    </format>
    <format dxfId="399">
      <pivotArea field="17" type="button" dataOnly="0" labelOnly="1" outline="0" axis="axisRow" fieldPosition="0"/>
    </format>
    <format dxfId="398">
      <pivotArea field="10" type="button" dataOnly="0" labelOnly="1" outline="0" axis="axisRow" fieldPosition="1"/>
    </format>
    <format dxfId="397">
      <pivotArea dataOnly="0" labelOnly="1" grandCol="1" outline="0" fieldPosition="0"/>
    </format>
    <format dxfId="396">
      <pivotArea field="17" type="button" dataOnly="0" labelOnly="1" outline="0" axis="axisRow" fieldPosition="0"/>
    </format>
    <format dxfId="395">
      <pivotArea field="10" type="button" dataOnly="0" labelOnly="1" outline="0" axis="axisRow" fieldPosition="1"/>
    </format>
    <format dxfId="394">
      <pivotArea field="12" type="button" dataOnly="0" labelOnly="1" outline="0" axis="axisRow" fieldPosition="2"/>
    </format>
    <format dxfId="393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92">
      <pivotArea dataOnly="0" labelOnly="1" grandCol="1" outline="0" fieldPosition="0"/>
    </format>
    <format dxfId="391">
      <pivotArea field="17" type="button" dataOnly="0" labelOnly="1" outline="0" axis="axisRow" fieldPosition="0"/>
    </format>
    <format dxfId="390">
      <pivotArea field="10" type="button" dataOnly="0" labelOnly="1" outline="0" axis="axisRow" fieldPosition="1"/>
    </format>
    <format dxfId="389">
      <pivotArea field="12" type="button" dataOnly="0" labelOnly="1" outline="0" axis="axisRow" fieldPosition="2"/>
    </format>
    <format dxfId="388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87">
      <pivotArea dataOnly="0" labelOnly="1" grandCol="1" outline="0" fieldPosition="0"/>
    </format>
    <format dxfId="386">
      <pivotArea field="17" type="button" dataOnly="0" labelOnly="1" outline="0" axis="axisRow" fieldPosition="0"/>
    </format>
    <format dxfId="385">
      <pivotArea field="10" type="button" dataOnly="0" labelOnly="1" outline="0" axis="axisRow" fieldPosition="1"/>
    </format>
    <format dxfId="384">
      <pivotArea field="12" type="button" dataOnly="0" labelOnly="1" outline="0" axis="axisRow" fieldPosition="2"/>
    </format>
    <format dxfId="383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82">
      <pivotArea dataOnly="0" labelOnly="1" grandCol="1" outline="0" fieldPosition="0"/>
    </format>
    <format dxfId="381">
      <pivotArea field="17" type="button" dataOnly="0" labelOnly="1" outline="0" axis="axisRow" fieldPosition="0"/>
    </format>
    <format dxfId="380">
      <pivotArea field="10" type="button" dataOnly="0" labelOnly="1" outline="0" axis="axisRow" fieldPosition="1"/>
    </format>
    <format dxfId="379">
      <pivotArea field="12" type="button" dataOnly="0" labelOnly="1" outline="0" axis="axisRow" fieldPosition="2"/>
    </format>
    <format dxfId="378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77">
      <pivotArea dataOnly="0" labelOnly="1" grandCol="1" outline="0" fieldPosition="0"/>
    </format>
    <format dxfId="376">
      <pivotArea field="17" type="button" dataOnly="0" labelOnly="1" outline="0" axis="axisRow" fieldPosition="0"/>
    </format>
    <format dxfId="375">
      <pivotArea field="10" type="button" dataOnly="0" labelOnly="1" outline="0" axis="axisRow" fieldPosition="1"/>
    </format>
    <format dxfId="374">
      <pivotArea field="12" type="button" dataOnly="0" labelOnly="1" outline="0" axis="axisRow" fieldPosition="2"/>
    </format>
    <format dxfId="373">
      <pivotArea dataOnly="0" labelOnly="1" outline="0" fieldPosition="0">
        <references count="1">
          <reference field="1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372">
      <pivotArea dataOnly="0" labelOnly="1" grandCol="1" outline="0" fieldPosition="0"/>
    </format>
    <format dxfId="371">
      <pivotArea dataOnly="0" labelOnly="1" outline="0" fieldPosition="0">
        <references count="1">
          <reference field="11" count="1">
            <x v="8"/>
          </reference>
        </references>
      </pivotArea>
    </format>
    <format dxfId="370">
      <pivotArea dataOnly="0" labelOnly="1" outline="0" fieldPosition="0">
        <references count="1">
          <reference field="11" count="1">
            <x v="7"/>
          </reference>
        </references>
      </pivotArea>
    </format>
    <format dxfId="369">
      <pivotArea dataOnly="0" labelOnly="1" outline="0" fieldPosition="0">
        <references count="1">
          <reference field="11" count="1">
            <x v="6"/>
          </reference>
        </references>
      </pivotArea>
    </format>
    <format dxfId="368">
      <pivotArea dataOnly="0" labelOnly="1" outline="0" fieldPosition="0">
        <references count="1">
          <reference field="11" count="3">
            <x v="6"/>
            <x v="7"/>
            <x v="8"/>
          </reference>
        </references>
      </pivotArea>
    </format>
    <format dxfId="367">
      <pivotArea dataOnly="0" labelOnly="1" outline="0" fieldPosition="0">
        <references count="1">
          <reference field="11" count="1">
            <x v="12"/>
          </reference>
        </references>
      </pivotArea>
    </format>
    <format dxfId="366">
      <pivotArea dataOnly="0" labelOnly="1" outline="0" fieldPosition="0">
        <references count="1">
          <reference field="11" count="1">
            <x v="2"/>
          </reference>
        </references>
      </pivotArea>
    </format>
    <format dxfId="365">
      <pivotArea dataOnly="0" labelOnly="1" outline="0" fieldPosition="0">
        <references count="1">
          <reference field="11" count="1">
            <x v="13"/>
          </reference>
        </references>
      </pivotArea>
    </format>
    <format dxfId="364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363">
      <pivotArea outline="0" collapsedLevelsAreSubtotals="1" fieldPosition="0">
        <references count="4">
          <reference field="10" count="1" selected="0">
            <x v="8"/>
          </reference>
          <reference field="11" count="1" selected="0">
            <x v="0"/>
          </reference>
          <reference field="12" count="1" selected="0">
            <x v="26"/>
          </reference>
          <reference field="17" count="1" selected="0">
            <x v="2"/>
          </reference>
        </references>
      </pivotArea>
    </format>
    <format dxfId="362">
      <pivotArea grandRow="1" outline="0" collapsedLevelsAreSubtotals="1" fieldPosition="0"/>
    </format>
    <format dxfId="361">
      <pivotArea dataOnly="0" labelOnly="1" grandRow="1" outline="0" fieldPosition="0"/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zoomScale="90" zoomScaleNormal="90" workbookViewId="0">
      <pane ySplit="7" topLeftCell="A11" activePane="bottomLeft" state="frozen"/>
      <selection pane="bottomLeft" activeCell="J5" sqref="J5"/>
    </sheetView>
  </sheetViews>
  <sheetFormatPr baseColWidth="10" defaultRowHeight="15.5" outlineLevelRow="1"/>
  <cols>
    <col min="1" max="1" width="6.5" customWidth="1"/>
    <col min="2" max="2" width="7.25" style="249" customWidth="1"/>
    <col min="3" max="3" width="28.1640625" style="247" customWidth="1"/>
    <col min="4" max="4" width="11.75" style="248" customWidth="1"/>
    <col min="5" max="5" width="9.75" style="248" customWidth="1"/>
    <col min="6" max="6" width="9.5" style="249" customWidth="1"/>
    <col min="7" max="7" width="10" style="249" customWidth="1"/>
    <col min="10" max="10" width="15.08203125" customWidth="1"/>
    <col min="13" max="13" width="8.5" customWidth="1"/>
  </cols>
  <sheetData>
    <row r="1" spans="1:14" s="254" customFormat="1" ht="23.5">
      <c r="A1" s="1435" t="s">
        <v>584</v>
      </c>
      <c r="B1" s="1435"/>
      <c r="C1" s="1435"/>
      <c r="D1" s="1435"/>
      <c r="E1" s="1435"/>
      <c r="F1" s="1435"/>
      <c r="G1" s="1435"/>
    </row>
    <row r="2" spans="1:14" s="446" customFormat="1" ht="23.5">
      <c r="A2" s="445"/>
      <c r="B2" s="445"/>
      <c r="C2" s="445"/>
      <c r="D2" s="445"/>
      <c r="E2" s="445"/>
      <c r="F2" s="445"/>
      <c r="G2" s="445"/>
    </row>
    <row r="3" spans="1:14">
      <c r="A3" s="60" t="s">
        <v>169</v>
      </c>
      <c r="B3" t="s">
        <v>170</v>
      </c>
    </row>
    <row r="4" spans="1:14">
      <c r="A4" s="60" t="s">
        <v>174</v>
      </c>
      <c r="B4" s="102">
        <v>2024</v>
      </c>
    </row>
    <row r="5" spans="1:14" s="504" customFormat="1" ht="59.5" customHeight="1">
      <c r="B5" s="505"/>
      <c r="C5" s="503"/>
      <c r="D5" s="506"/>
      <c r="E5" s="506"/>
      <c r="F5" s="505"/>
      <c r="G5" s="505"/>
    </row>
    <row r="6" spans="1:14">
      <c r="A6" s="60" t="s">
        <v>316</v>
      </c>
      <c r="B6"/>
      <c r="C6"/>
      <c r="D6" s="60" t="s">
        <v>406</v>
      </c>
      <c r="F6" s="248"/>
      <c r="G6" s="248"/>
    </row>
    <row r="7" spans="1:14" s="257" customFormat="1" ht="24">
      <c r="A7" s="255" t="s">
        <v>164</v>
      </c>
      <c r="B7" s="255" t="s">
        <v>226</v>
      </c>
      <c r="C7" s="255" t="s">
        <v>407</v>
      </c>
      <c r="D7" s="257" t="s">
        <v>404</v>
      </c>
      <c r="E7" s="257" t="s">
        <v>433</v>
      </c>
      <c r="F7" s="257" t="s">
        <v>997</v>
      </c>
      <c r="G7" s="256" t="s">
        <v>165</v>
      </c>
      <c r="I7" s="502" t="s">
        <v>992</v>
      </c>
      <c r="J7" s="502"/>
      <c r="K7" s="502"/>
      <c r="L7" s="502"/>
      <c r="M7" s="502"/>
      <c r="N7" s="502"/>
    </row>
    <row r="8" spans="1:14" s="238" customFormat="1" ht="23.5">
      <c r="A8" s="238" t="s">
        <v>158</v>
      </c>
      <c r="B8" s="253"/>
      <c r="C8" s="253"/>
      <c r="D8" s="249">
        <v>-1043.7900000000004</v>
      </c>
      <c r="E8" s="249">
        <v>23777.599999999999</v>
      </c>
      <c r="F8" s="249">
        <v>27000</v>
      </c>
      <c r="G8" s="249">
        <v>49733.81</v>
      </c>
      <c r="I8" s="445"/>
      <c r="J8" s="445"/>
      <c r="K8" s="445"/>
      <c r="L8" s="445"/>
      <c r="M8" s="445"/>
      <c r="N8" s="445"/>
    </row>
    <row r="9" spans="1:14" s="238" customFormat="1">
      <c r="A9" s="238" t="s">
        <v>157</v>
      </c>
      <c r="B9" s="253"/>
      <c r="C9" s="253"/>
      <c r="D9" s="249">
        <v>-686.69000000000017</v>
      </c>
      <c r="E9" s="249">
        <v>-36816.370000000003</v>
      </c>
      <c r="F9" s="249">
        <v>-26.76</v>
      </c>
      <c r="G9" s="249">
        <v>-37529.820000000007</v>
      </c>
      <c r="I9"/>
      <c r="J9"/>
      <c r="K9" s="248"/>
      <c r="L9" s="248"/>
      <c r="M9" s="249"/>
      <c r="N9"/>
    </row>
    <row r="10" spans="1:14" s="238" customFormat="1" ht="16" thickBot="1">
      <c r="A10" s="238" t="s">
        <v>165</v>
      </c>
      <c r="D10" s="249">
        <v>-1730.4800000000005</v>
      </c>
      <c r="E10" s="249">
        <v>-13038.770000000004</v>
      </c>
      <c r="F10" s="249">
        <v>26973.24</v>
      </c>
      <c r="G10" s="249">
        <v>12203.989999999991</v>
      </c>
      <c r="I10"/>
      <c r="J10" s="102"/>
      <c r="K10" s="248"/>
      <c r="L10" s="248"/>
      <c r="M10" s="249"/>
      <c r="N10"/>
    </row>
    <row r="11" spans="1:14" s="238" customFormat="1" ht="24">
      <c r="A11"/>
      <c r="B11"/>
      <c r="C11"/>
      <c r="D11"/>
      <c r="E11"/>
      <c r="F11"/>
      <c r="G11"/>
      <c r="I11" s="1399" t="s">
        <v>585</v>
      </c>
      <c r="J11" s="1400"/>
      <c r="K11" s="1401" t="s">
        <v>404</v>
      </c>
      <c r="L11" s="1401" t="s">
        <v>433</v>
      </c>
      <c r="M11" s="1401" t="str">
        <f>+F7</f>
        <v>PROJET FORAGES</v>
      </c>
      <c r="N11" s="1402" t="s">
        <v>165</v>
      </c>
    </row>
    <row r="12" spans="1:14" s="238" customFormat="1" ht="18" customHeight="1">
      <c r="A12" t="s">
        <v>990</v>
      </c>
      <c r="B12"/>
      <c r="C12"/>
      <c r="D12" s="245"/>
      <c r="E12" s="245">
        <f>+'1 BILAN PAR PROJET 2024'!E29</f>
        <v>16344</v>
      </c>
      <c r="F12" s="245"/>
      <c r="G12" s="245">
        <f>SUM(D12:F12)</f>
        <v>16344</v>
      </c>
      <c r="I12" s="1403" t="s">
        <v>177</v>
      </c>
      <c r="J12" s="239"/>
      <c r="K12" s="250">
        <f>+GETPIVOTDATA("COMPTA",$A$6,"LIB Projet","ADMINIST ET FONCT","CH/PDT","pdts")+5500</f>
        <v>4456.2099999999991</v>
      </c>
      <c r="L12" s="250">
        <f>+GETPIVOTDATA("COMPTA",$A$6,"LIB Projet","TOILETTES ECOSAN","CH/PDT","pdts")+E12</f>
        <v>40121.599999999999</v>
      </c>
      <c r="M12" s="250">
        <f>+GETPIVOTDATA("COMPTA",$A$6,"LIB Projet","PROJET FORAGES","CH/PDT","pdts")</f>
        <v>27000</v>
      </c>
      <c r="N12" s="1404">
        <f>SUM(K12:M12)</f>
        <v>71577.81</v>
      </c>
    </row>
    <row r="13" spans="1:14" s="419" customFormat="1">
      <c r="A13" t="s">
        <v>991</v>
      </c>
      <c r="B13"/>
      <c r="C13"/>
      <c r="D13" s="245"/>
      <c r="E13" s="245"/>
      <c r="F13" s="249">
        <f>-GETPIVOTDATA("COMPTA",$A$6,"LIB Projet","PROJET FORAGES")</f>
        <v>-26973.24</v>
      </c>
      <c r="G13" s="245">
        <f>SUM(D13:F13)</f>
        <v>-26973.24</v>
      </c>
      <c r="I13" s="1405" t="s">
        <v>176</v>
      </c>
      <c r="J13" s="1406"/>
      <c r="K13" s="861">
        <f>+GETPIVOTDATA("COMPTA",$A$6,"LIB Projet","ADMINIST ET FONCT","CH/PDT","chges")</f>
        <v>-686.69000000000017</v>
      </c>
      <c r="L13" s="861">
        <f>+GETPIVOTDATA("COMPTA",$A$6,"LIB Projet","TOILETTES ECOSAN","CH/PDT","chges")-5500</f>
        <v>-42316.37</v>
      </c>
      <c r="M13" s="861">
        <f>+GETPIVOTDATA("COMPTA",$A$6,"LIB Projet","PROJET FORAGES","CH/PDT","chges")+F13</f>
        <v>-27000</v>
      </c>
      <c r="N13" s="1407">
        <f>SUM(K13:M13)</f>
        <v>-70003.06</v>
      </c>
    </row>
    <row r="14" spans="1:14">
      <c r="A14" s="420" t="s">
        <v>853</v>
      </c>
      <c r="B14" s="421"/>
      <c r="C14" s="421"/>
      <c r="D14" s="501">
        <f>SUM(D10:D13)</f>
        <v>-1730.4800000000005</v>
      </c>
      <c r="E14" s="501">
        <f t="shared" ref="E14:G14" si="0">SUM(E10:E13)</f>
        <v>3305.2299999999959</v>
      </c>
      <c r="F14" s="501">
        <f t="shared" si="0"/>
        <v>0</v>
      </c>
      <c r="G14" s="501">
        <f t="shared" si="0"/>
        <v>1574.7499999999891</v>
      </c>
      <c r="H14" s="67"/>
      <c r="I14" s="1393"/>
      <c r="J14" s="239"/>
      <c r="K14" s="250"/>
      <c r="L14" s="250"/>
      <c r="M14" s="250"/>
      <c r="N14" s="1404"/>
    </row>
    <row r="15" spans="1:14" s="246" customFormat="1" ht="16" thickBot="1">
      <c r="A15" s="496"/>
      <c r="B15" s="239"/>
      <c r="C15" s="239"/>
      <c r="D15" s="250"/>
      <c r="E15" s="258"/>
      <c r="F15" s="258"/>
      <c r="G15" s="258"/>
      <c r="I15" s="1423" t="s">
        <v>586</v>
      </c>
      <c r="J15" s="1421"/>
      <c r="K15" s="250">
        <f>+K12+K13</f>
        <v>3769.5199999999991</v>
      </c>
      <c r="L15" s="250">
        <f>+L12+L13</f>
        <v>-2194.7700000000041</v>
      </c>
      <c r="M15" s="250">
        <f>+M12+M13</f>
        <v>0</v>
      </c>
      <c r="N15" s="1404">
        <f>+N12+N13</f>
        <v>1574.75</v>
      </c>
    </row>
    <row r="16" spans="1:14" ht="16" customHeight="1">
      <c r="A16" s="481" t="s">
        <v>573</v>
      </c>
      <c r="B16" s="482"/>
      <c r="C16" s="482"/>
      <c r="D16" s="498">
        <f>+'1 BILAN PAR PROJET 2024'!D33</f>
        <v>4389.6440000000002</v>
      </c>
      <c r="E16" s="498">
        <f>+'1 BILAN PAR PROJET 2024'!E33</f>
        <v>-3305.2339999999967</v>
      </c>
      <c r="F16" s="498">
        <f>+'1 BILAN PAR PROJET 2024'!F33</f>
        <v>0</v>
      </c>
      <c r="G16" s="498">
        <f>SUM(D16:F16)</f>
        <v>1084.4100000000035</v>
      </c>
      <c r="I16" s="1413" t="s">
        <v>1002</v>
      </c>
      <c r="J16" s="239"/>
      <c r="K16" s="1390">
        <v>-5500</v>
      </c>
      <c r="L16" s="1390">
        <v>5500</v>
      </c>
      <c r="M16" s="1390"/>
      <c r="N16" s="1424"/>
    </row>
    <row r="17" spans="1:14" s="246" customFormat="1" ht="16" customHeight="1" outlineLevel="1">
      <c r="A17" s="483" t="s">
        <v>853</v>
      </c>
      <c r="B17" s="484"/>
      <c r="C17" s="484"/>
      <c r="D17" s="500">
        <f>+D14</f>
        <v>-1730.4800000000005</v>
      </c>
      <c r="E17" s="500">
        <f t="shared" ref="E17:G17" si="1">+E14</f>
        <v>3305.2299999999959</v>
      </c>
      <c r="F17" s="500">
        <f t="shared" si="1"/>
        <v>0</v>
      </c>
      <c r="G17" s="500">
        <f t="shared" si="1"/>
        <v>1574.7499999999891</v>
      </c>
      <c r="I17" s="1413"/>
      <c r="J17" s="239"/>
      <c r="K17" s="1390"/>
      <c r="L17" s="1390"/>
      <c r="M17" s="1390"/>
      <c r="N17" s="1424"/>
    </row>
    <row r="18" spans="1:14" s="246" customFormat="1" ht="16" customHeight="1" outlineLevel="1" thickBot="1">
      <c r="A18" s="420" t="s">
        <v>963</v>
      </c>
      <c r="B18" s="421"/>
      <c r="C18" s="421"/>
      <c r="D18" s="501">
        <f>+D17+D16</f>
        <v>2659.1639999999998</v>
      </c>
      <c r="E18" s="501">
        <f>+E17+E16</f>
        <v>-4.0000000008149073E-3</v>
      </c>
      <c r="F18" s="501">
        <f>+F17+F16</f>
        <v>0</v>
      </c>
      <c r="G18" s="501">
        <f>+G17+G16</f>
        <v>2659.1599999999926</v>
      </c>
      <c r="I18" s="1422" t="s">
        <v>1001</v>
      </c>
      <c r="J18" s="1425"/>
      <c r="K18" s="1426">
        <f>+K15+K16</f>
        <v>-1730.4800000000009</v>
      </c>
      <c r="L18" s="1426">
        <f>+L15+L16</f>
        <v>3305.2299999999959</v>
      </c>
      <c r="M18" s="1426">
        <f>+M15+M16</f>
        <v>0</v>
      </c>
      <c r="N18" s="1427">
        <f>+N15+N16</f>
        <v>1574.75</v>
      </c>
    </row>
    <row r="19" spans="1:14" s="794" customFormat="1" outlineLevel="1">
      <c r="A19" s="1389"/>
      <c r="B19" s="239"/>
      <c r="C19" s="239"/>
      <c r="D19" s="1390"/>
      <c r="E19" s="1390"/>
      <c r="F19" s="1390"/>
      <c r="G19" s="1390"/>
      <c r="I19" s="239"/>
      <c r="J19" s="239"/>
      <c r="K19" s="250"/>
      <c r="L19" s="258"/>
      <c r="M19" s="258"/>
      <c r="N19" s="259"/>
    </row>
    <row r="20" spans="1:14" ht="16" thickBot="1">
      <c r="A20" s="489" t="s">
        <v>526</v>
      </c>
      <c r="B20" s="490"/>
      <c r="C20" s="490"/>
      <c r="D20" s="1329">
        <v>-15</v>
      </c>
      <c r="E20" s="1329"/>
      <c r="F20" s="1329"/>
      <c r="G20" s="491">
        <f t="shared" ref="G20" si="2">SUM(D20:F20)</f>
        <v>-15</v>
      </c>
      <c r="I20" s="239"/>
      <c r="J20" s="239"/>
      <c r="K20" s="250"/>
      <c r="L20" s="258"/>
      <c r="M20" s="258"/>
      <c r="N20" s="259"/>
    </row>
    <row r="21" spans="1:14">
      <c r="A21" s="489" t="s">
        <v>991</v>
      </c>
      <c r="B21" s="490"/>
      <c r="C21" s="490"/>
      <c r="D21" s="1329"/>
      <c r="E21" s="1329">
        <f>-+RAPPRO!C127</f>
        <v>15099.11</v>
      </c>
      <c r="F21" s="1329">
        <f>+GETPIVOTDATA("COMPTA",$A$6,"LIB Projet","PROJET FORAGES")</f>
        <v>26973.24</v>
      </c>
      <c r="G21" s="491">
        <f>SUM(D21:F21)</f>
        <v>42072.350000000006</v>
      </c>
      <c r="I21" s="1391" t="s">
        <v>993</v>
      </c>
      <c r="J21" s="1392"/>
      <c r="K21" s="498">
        <f>+D16</f>
        <v>4389.6440000000002</v>
      </c>
      <c r="L21" s="498">
        <f>+E16</f>
        <v>-3305.2339999999967</v>
      </c>
      <c r="M21" s="498">
        <f>+F16</f>
        <v>0</v>
      </c>
      <c r="N21" s="499">
        <f>+K21+L21+M21</f>
        <v>1084.4100000000035</v>
      </c>
    </row>
    <row r="22" spans="1:14">
      <c r="A22" s="489" t="s">
        <v>925</v>
      </c>
      <c r="B22" s="490"/>
      <c r="C22" s="490"/>
      <c r="D22" s="1329"/>
      <c r="E22" s="1329">
        <f>-E12</f>
        <v>-16344</v>
      </c>
      <c r="F22" s="1316"/>
      <c r="G22" s="491">
        <f>SUM(D22:F22)</f>
        <v>-16344</v>
      </c>
      <c r="I22" s="1393" t="s">
        <v>994</v>
      </c>
      <c r="J22" s="1394"/>
      <c r="K22" s="1395">
        <f>K18</f>
        <v>-1730.4800000000009</v>
      </c>
      <c r="L22" s="1395">
        <f>L18</f>
        <v>3305.2299999999959</v>
      </c>
      <c r="M22" s="1395">
        <f>M18</f>
        <v>0</v>
      </c>
      <c r="N22" s="1396">
        <f>+K22+L22+M22</f>
        <v>1574.749999999995</v>
      </c>
    </row>
    <row r="23" spans="1:14" ht="16" thickBot="1">
      <c r="A23" s="437" t="s">
        <v>972</v>
      </c>
      <c r="B23" s="438"/>
      <c r="C23" s="438"/>
      <c r="D23" s="439">
        <f>D18+SUM(D19:D22)</f>
        <v>2644.1639999999998</v>
      </c>
      <c r="E23" s="439">
        <f t="shared" ref="E23:G23" si="3">E18+SUM(E19:E22)</f>
        <v>-1244.8940000000002</v>
      </c>
      <c r="F23" s="439">
        <f t="shared" si="3"/>
        <v>26973.24</v>
      </c>
      <c r="G23" s="439">
        <f t="shared" si="3"/>
        <v>28372.51</v>
      </c>
      <c r="I23" s="1330" t="s">
        <v>995</v>
      </c>
      <c r="J23" s="1331"/>
      <c r="K23" s="1338">
        <f>+K21+K22</f>
        <v>2659.1639999999993</v>
      </c>
      <c r="L23" s="1338">
        <f>+L21+L22</f>
        <v>-4.0000000008149073E-3</v>
      </c>
      <c r="M23" s="1338">
        <f>+M21+M22</f>
        <v>0</v>
      </c>
      <c r="N23" s="1339">
        <f>+N21+N22</f>
        <v>2659.1599999999985</v>
      </c>
    </row>
    <row r="24" spans="1:14">
      <c r="B24"/>
      <c r="C24"/>
      <c r="D24"/>
      <c r="E24"/>
      <c r="F24"/>
      <c r="G24"/>
      <c r="I24" s="246"/>
      <c r="J24" s="246"/>
      <c r="K24" s="246"/>
      <c r="L24" s="246"/>
      <c r="M24" s="246"/>
      <c r="N24" s="246"/>
    </row>
    <row r="25" spans="1:14">
      <c r="B25"/>
      <c r="C25"/>
      <c r="D25"/>
      <c r="E25"/>
      <c r="F25"/>
      <c r="G25"/>
      <c r="I25" s="419" t="s">
        <v>999</v>
      </c>
      <c r="J25" s="246"/>
      <c r="K25" s="419">
        <v>-15</v>
      </c>
      <c r="L25" s="246"/>
      <c r="M25" s="246"/>
      <c r="N25" s="246"/>
    </row>
    <row r="26" spans="1:14">
      <c r="B26"/>
      <c r="C26"/>
      <c r="D26"/>
      <c r="E26"/>
      <c r="F26"/>
      <c r="G26"/>
      <c r="I26" s="419" t="s">
        <v>923</v>
      </c>
      <c r="J26" s="246"/>
      <c r="K26" s="246"/>
      <c r="L26" s="1408">
        <f>+E22</f>
        <v>-16344</v>
      </c>
      <c r="M26" s="246"/>
      <c r="N26" s="1227">
        <f>SUM(K26:M26)</f>
        <v>-16344</v>
      </c>
    </row>
    <row r="27" spans="1:14" ht="16" thickBot="1">
      <c r="B27"/>
      <c r="C27"/>
      <c r="D27"/>
      <c r="E27"/>
      <c r="F27"/>
      <c r="G27"/>
      <c r="I27" s="419" t="s">
        <v>1000</v>
      </c>
      <c r="J27" s="246"/>
      <c r="K27" s="246"/>
      <c r="L27" s="1408">
        <f>+E21</f>
        <v>15099.11</v>
      </c>
      <c r="M27" s="1408">
        <f>+F21</f>
        <v>26973.24</v>
      </c>
      <c r="N27" s="1227">
        <f>SUM(K27:M27)</f>
        <v>42072.350000000006</v>
      </c>
    </row>
    <row r="28" spans="1:14" ht="16" thickBot="1">
      <c r="B28"/>
      <c r="C28"/>
      <c r="D28"/>
      <c r="E28"/>
      <c r="F28"/>
      <c r="G28"/>
      <c r="I28" s="1234" t="s">
        <v>996</v>
      </c>
      <c r="J28" s="1235"/>
      <c r="K28" s="1397">
        <f>SUM(K23:K27)</f>
        <v>2644.1639999999993</v>
      </c>
      <c r="L28" s="1397">
        <f>SUM(L23:L27)</f>
        <v>-1244.8940000000002</v>
      </c>
      <c r="M28" s="1397">
        <f>+F23</f>
        <v>26973.24</v>
      </c>
      <c r="N28" s="1398">
        <f>SUM(K28:M28)</f>
        <v>28372.510000000002</v>
      </c>
    </row>
    <row r="29" spans="1:14">
      <c r="B29"/>
      <c r="C29"/>
      <c r="D29"/>
      <c r="E29"/>
      <c r="F29"/>
      <c r="G29"/>
    </row>
    <row r="30" spans="1:14">
      <c r="B30"/>
      <c r="C30"/>
      <c r="D30"/>
      <c r="E30"/>
      <c r="F30"/>
      <c r="G30"/>
    </row>
    <row r="31" spans="1:14">
      <c r="A31" t="s">
        <v>514</v>
      </c>
      <c r="B31"/>
      <c r="C31"/>
      <c r="D31"/>
      <c r="E31"/>
      <c r="F31"/>
      <c r="G31"/>
    </row>
    <row r="32" spans="1:14">
      <c r="B32"/>
      <c r="C32"/>
      <c r="D32"/>
      <c r="E32"/>
      <c r="F32"/>
      <c r="G32"/>
    </row>
    <row r="33" spans="1:14" s="404" customFormat="1">
      <c r="A33" t="s">
        <v>169</v>
      </c>
      <c r="B33" t="s">
        <v>170</v>
      </c>
      <c r="C33" s="247"/>
      <c r="D33" s="248"/>
      <c r="E33" s="248"/>
      <c r="F33" s="249"/>
      <c r="G33"/>
      <c r="H33" s="444"/>
      <c r="I33"/>
      <c r="J33"/>
      <c r="K33"/>
      <c r="L33"/>
      <c r="M33"/>
      <c r="N33"/>
    </row>
    <row r="34" spans="1:14">
      <c r="A34" t="s">
        <v>174</v>
      </c>
      <c r="B34" s="102">
        <v>2022</v>
      </c>
      <c r="G34"/>
    </row>
    <row r="35" spans="1:14">
      <c r="G35"/>
    </row>
    <row r="36" spans="1:14">
      <c r="A36" t="s">
        <v>316</v>
      </c>
      <c r="B36"/>
      <c r="C36"/>
      <c r="D36" t="s">
        <v>406</v>
      </c>
      <c r="F36" s="248"/>
      <c r="G36" s="248"/>
    </row>
    <row r="37" spans="1:14" ht="36">
      <c r="A37" s="257" t="s">
        <v>164</v>
      </c>
      <c r="B37" s="257" t="s">
        <v>226</v>
      </c>
      <c r="C37" s="257" t="s">
        <v>407</v>
      </c>
      <c r="D37" s="257" t="s">
        <v>404</v>
      </c>
      <c r="E37" s="257" t="s">
        <v>264</v>
      </c>
      <c r="F37" s="257" t="s">
        <v>268</v>
      </c>
      <c r="G37" s="256" t="s">
        <v>165</v>
      </c>
      <c r="I37" s="404"/>
      <c r="J37" s="404"/>
      <c r="K37" s="404"/>
      <c r="L37" s="404"/>
      <c r="M37" s="404"/>
      <c r="N37" s="404"/>
    </row>
    <row r="38" spans="1:14">
      <c r="A38" t="s">
        <v>163</v>
      </c>
      <c r="B38">
        <v>4500</v>
      </c>
      <c r="C38" t="s">
        <v>554</v>
      </c>
      <c r="D38" s="249">
        <v>0</v>
      </c>
      <c r="E38" s="249"/>
      <c r="G38" s="249">
        <v>0</v>
      </c>
    </row>
    <row r="39" spans="1:14">
      <c r="B39">
        <v>4860</v>
      </c>
      <c r="C39" t="s">
        <v>398</v>
      </c>
      <c r="D39" s="249">
        <v>124.55</v>
      </c>
      <c r="E39" s="249"/>
      <c r="G39" s="249">
        <v>124.55</v>
      </c>
    </row>
    <row r="40" spans="1:14">
      <c r="B40">
        <v>5120</v>
      </c>
      <c r="C40" t="s">
        <v>160</v>
      </c>
      <c r="D40" s="249">
        <v>1060.7599999999998</v>
      </c>
      <c r="E40" s="249">
        <v>158.46000000000032</v>
      </c>
      <c r="F40" s="249">
        <v>740.26</v>
      </c>
      <c r="G40" s="249">
        <v>1959.48</v>
      </c>
      <c r="H40" s="495"/>
    </row>
    <row r="41" spans="1:14">
      <c r="B41">
        <v>5130</v>
      </c>
      <c r="C41" t="s">
        <v>580</v>
      </c>
      <c r="D41" s="249">
        <v>-15</v>
      </c>
      <c r="E41" s="249"/>
      <c r="G41" s="249">
        <v>-15</v>
      </c>
      <c r="H41" s="495"/>
    </row>
    <row r="42" spans="1:14" ht="16" thickBot="1">
      <c r="A42" s="253" t="s">
        <v>513</v>
      </c>
      <c r="B42" s="253"/>
      <c r="C42" s="253"/>
      <c r="D42" s="251">
        <v>1170.3099999999997</v>
      </c>
      <c r="E42" s="251">
        <v>158.46000000000032</v>
      </c>
      <c r="F42" s="251">
        <v>740.26</v>
      </c>
      <c r="G42" s="251">
        <v>2069.0300000000002</v>
      </c>
    </row>
    <row r="43" spans="1:14">
      <c r="A43" s="485" t="s">
        <v>526</v>
      </c>
      <c r="B43"/>
      <c r="C43"/>
      <c r="D43" s="67">
        <f>-D20</f>
        <v>15</v>
      </c>
      <c r="E43"/>
      <c r="F43"/>
      <c r="G43"/>
    </row>
    <row r="44" spans="1:14">
      <c r="A44" s="493" t="s">
        <v>575</v>
      </c>
      <c r="B44" s="494"/>
      <c r="C44" s="494"/>
      <c r="D44" s="494">
        <f>+GETPIVOTDATA("COMPTA",$A$6,"LIB Projet","ADMINIST ET FONCT")</f>
        <v>-1730.4800000000005</v>
      </c>
      <c r="E44" s="494" t="e">
        <f>+GETPIVOTDATA("COMPTA",$A$6,"LIB Projet","HYGIENE MENSTRUELLE")</f>
        <v>#REF!</v>
      </c>
      <c r="F44" s="493" t="e">
        <f>GETPIVOTDATA("COMPTA",$A$6,"LIB Projet","DASSOUTE TEUILLAC CANTINE")</f>
        <v>#REF!</v>
      </c>
      <c r="G44" s="494"/>
    </row>
    <row r="45" spans="1:14">
      <c r="C45" s="249"/>
      <c r="D45" s="249">
        <f>SUM(D41:D44)</f>
        <v>-560.17000000000075</v>
      </c>
      <c r="E45" s="249" t="e">
        <f>SUM(E41:E44)</f>
        <v>#REF!</v>
      </c>
      <c r="F45" s="249" t="e">
        <f>SUM(F41:F44)</f>
        <v>#REF!</v>
      </c>
      <c r="I45" s="67" t="e">
        <f>+H41-#REF!</f>
        <v>#REF!</v>
      </c>
    </row>
    <row r="46" spans="1:14">
      <c r="C46" s="249"/>
      <c r="D46" s="249"/>
      <c r="E46" s="249"/>
      <c r="G46"/>
    </row>
    <row r="47" spans="1:14">
      <c r="A47" s="240" t="s">
        <v>525</v>
      </c>
      <c r="C47" s="249"/>
      <c r="D47" s="249"/>
      <c r="E47" s="249"/>
      <c r="G47"/>
    </row>
    <row r="48" spans="1:14">
      <c r="C48" s="249"/>
      <c r="D48" s="249"/>
      <c r="E48" s="249"/>
      <c r="G48"/>
    </row>
    <row r="49" spans="1:14">
      <c r="C49" s="249"/>
      <c r="D49" s="249"/>
      <c r="E49" s="249"/>
      <c r="G49"/>
    </row>
    <row r="50" spans="1:14">
      <c r="C50" s="249"/>
      <c r="D50" s="249"/>
      <c r="E50" s="249"/>
      <c r="G50"/>
    </row>
    <row r="51" spans="1:14">
      <c r="C51" s="249"/>
      <c r="D51" s="249"/>
      <c r="E51" s="249"/>
      <c r="G51"/>
    </row>
    <row r="52" spans="1:14">
      <c r="C52" s="249"/>
      <c r="D52" s="249"/>
      <c r="E52" s="249"/>
      <c r="G52"/>
    </row>
    <row r="53" spans="1:14">
      <c r="C53" s="249"/>
      <c r="D53" s="249"/>
      <c r="E53" s="249"/>
      <c r="G53"/>
    </row>
    <row r="54" spans="1:14">
      <c r="C54" s="249"/>
      <c r="D54" s="249"/>
      <c r="E54" s="249"/>
    </row>
    <row r="55" spans="1:14">
      <c r="C55" s="249"/>
      <c r="D55" s="249"/>
      <c r="E55" s="249"/>
    </row>
    <row r="56" spans="1:14">
      <c r="C56" s="249"/>
      <c r="D56" s="249"/>
      <c r="E56" s="249"/>
    </row>
    <row r="57" spans="1:14">
      <c r="C57" s="249"/>
      <c r="D57" s="249"/>
      <c r="E57" s="249"/>
    </row>
    <row r="58" spans="1:14">
      <c r="C58" s="249"/>
      <c r="D58" s="249"/>
      <c r="E58" s="249"/>
    </row>
    <row r="59" spans="1:14">
      <c r="C59" s="249"/>
      <c r="D59" s="249"/>
      <c r="E59" s="249"/>
    </row>
    <row r="60" spans="1:14" s="249" customFormat="1">
      <c r="A60"/>
      <c r="H60"/>
      <c r="I60"/>
      <c r="J60"/>
      <c r="K60"/>
      <c r="L60"/>
      <c r="M60"/>
      <c r="N60"/>
    </row>
    <row r="61" spans="1:14" s="249" customFormat="1">
      <c r="A61"/>
      <c r="H61"/>
      <c r="I61"/>
      <c r="J61"/>
      <c r="K61"/>
      <c r="L61"/>
      <c r="M61"/>
      <c r="N61"/>
    </row>
    <row r="62" spans="1:14" s="249" customFormat="1">
      <c r="A62"/>
      <c r="H62"/>
      <c r="I62"/>
      <c r="J62"/>
      <c r="K62"/>
      <c r="L62"/>
      <c r="M62"/>
      <c r="N62"/>
    </row>
    <row r="63" spans="1:14" s="249" customFormat="1">
      <c r="A63"/>
      <c r="H63"/>
      <c r="I63"/>
      <c r="J63"/>
      <c r="K63"/>
      <c r="L63"/>
      <c r="M63"/>
      <c r="N63"/>
    </row>
    <row r="64" spans="1:14" s="249" customFormat="1">
      <c r="A64"/>
      <c r="H64"/>
      <c r="I64"/>
      <c r="J64"/>
    </row>
    <row r="65" spans="1:10" s="249" customFormat="1">
      <c r="A65"/>
      <c r="H65"/>
      <c r="I65"/>
      <c r="J65"/>
    </row>
    <row r="66" spans="1:10" s="249" customFormat="1">
      <c r="A66"/>
      <c r="H66"/>
      <c r="I66"/>
      <c r="J66"/>
    </row>
    <row r="67" spans="1:10" s="249" customFormat="1">
      <c r="A67"/>
      <c r="H67"/>
      <c r="I67"/>
      <c r="J67"/>
    </row>
    <row r="68" spans="1:10" s="249" customFormat="1">
      <c r="A68"/>
      <c r="H68"/>
      <c r="I68"/>
      <c r="J68"/>
    </row>
    <row r="69" spans="1:10" s="249" customFormat="1">
      <c r="A69"/>
      <c r="H69"/>
      <c r="I69"/>
      <c r="J69"/>
    </row>
    <row r="70" spans="1:10" s="249" customFormat="1">
      <c r="A70"/>
      <c r="H70"/>
      <c r="I70"/>
      <c r="J70"/>
    </row>
    <row r="71" spans="1:10" s="249" customFormat="1">
      <c r="A71"/>
      <c r="H71"/>
      <c r="I71"/>
      <c r="J71"/>
    </row>
    <row r="72" spans="1:10" s="249" customFormat="1">
      <c r="A72"/>
      <c r="H72"/>
      <c r="I72"/>
      <c r="J72"/>
    </row>
    <row r="73" spans="1:10" s="249" customFormat="1">
      <c r="A73"/>
      <c r="H73"/>
      <c r="I73"/>
      <c r="J73"/>
    </row>
    <row r="74" spans="1:10" s="249" customFormat="1">
      <c r="A74"/>
      <c r="H74"/>
      <c r="I74"/>
      <c r="J74"/>
    </row>
    <row r="75" spans="1:10" s="249" customFormat="1">
      <c r="A75"/>
      <c r="H75"/>
      <c r="I75"/>
      <c r="J75"/>
    </row>
    <row r="76" spans="1:10" s="249" customFormat="1">
      <c r="A76"/>
      <c r="H76"/>
      <c r="I76"/>
      <c r="J76"/>
    </row>
    <row r="77" spans="1:10" s="249" customFormat="1">
      <c r="A77"/>
      <c r="H77"/>
      <c r="I77"/>
      <c r="J77"/>
    </row>
    <row r="78" spans="1:10" s="249" customFormat="1">
      <c r="A78"/>
      <c r="H78"/>
      <c r="I78"/>
      <c r="J78"/>
    </row>
    <row r="79" spans="1:10" s="249" customFormat="1">
      <c r="A79"/>
      <c r="H79"/>
      <c r="I79"/>
      <c r="J79"/>
    </row>
    <row r="80" spans="1:10" s="249" customFormat="1">
      <c r="A80"/>
      <c r="H80"/>
      <c r="I80"/>
      <c r="J80"/>
    </row>
    <row r="81" spans="1:14" s="249" customFormat="1">
      <c r="A81"/>
      <c r="H81"/>
      <c r="I81"/>
      <c r="J81"/>
    </row>
    <row r="82" spans="1:14" s="249" customFormat="1">
      <c r="A82"/>
      <c r="H82"/>
      <c r="I82"/>
      <c r="J82"/>
    </row>
    <row r="83" spans="1:14" s="249" customFormat="1">
      <c r="A83"/>
      <c r="H83"/>
      <c r="I83"/>
      <c r="J83"/>
    </row>
    <row r="84" spans="1:14" s="249" customFormat="1">
      <c r="A84"/>
      <c r="H84"/>
      <c r="I84"/>
      <c r="J84"/>
    </row>
    <row r="85" spans="1:14" s="249" customFormat="1">
      <c r="A85"/>
      <c r="H85"/>
      <c r="I85"/>
      <c r="J85"/>
    </row>
    <row r="86" spans="1:14" s="249" customFormat="1">
      <c r="A86"/>
      <c r="H86"/>
      <c r="I86"/>
      <c r="J86"/>
    </row>
    <row r="87" spans="1:14" s="249" customFormat="1">
      <c r="A87"/>
      <c r="H87"/>
      <c r="I87"/>
      <c r="J87"/>
    </row>
    <row r="88" spans="1:14" s="249" customFormat="1">
      <c r="A88"/>
      <c r="H88"/>
      <c r="I88"/>
      <c r="J88"/>
    </row>
    <row r="89" spans="1:14" s="249" customFormat="1">
      <c r="A89"/>
      <c r="H89"/>
      <c r="I89"/>
      <c r="J89"/>
    </row>
    <row r="90" spans="1:14" s="249" customFormat="1">
      <c r="A90"/>
      <c r="H90"/>
      <c r="I90"/>
      <c r="J90"/>
    </row>
    <row r="91" spans="1:14" s="249" customFormat="1">
      <c r="A91"/>
      <c r="H91"/>
      <c r="I91"/>
      <c r="J91"/>
    </row>
    <row r="92" spans="1:14" s="249" customFormat="1">
      <c r="A92"/>
      <c r="H92"/>
      <c r="I92"/>
      <c r="J92"/>
    </row>
    <row r="93" spans="1:14">
      <c r="C93" s="249"/>
      <c r="D93" s="249"/>
      <c r="E93" s="249"/>
      <c r="K93" s="249"/>
      <c r="L93" s="249"/>
      <c r="M93" s="249"/>
      <c r="N93" s="249"/>
    </row>
    <row r="94" spans="1:14">
      <c r="C94" s="249"/>
      <c r="D94" s="249"/>
      <c r="E94" s="249"/>
      <c r="K94" s="249"/>
      <c r="L94" s="249"/>
      <c r="M94" s="249"/>
      <c r="N94" s="249"/>
    </row>
    <row r="95" spans="1:14">
      <c r="C95" s="249"/>
      <c r="D95" s="249"/>
      <c r="E95" s="249"/>
      <c r="K95" s="249"/>
      <c r="L95" s="249"/>
      <c r="M95" s="249"/>
      <c r="N95" s="249"/>
    </row>
    <row r="96" spans="1:14">
      <c r="C96" s="249"/>
      <c r="D96" s="249"/>
      <c r="E96" s="249"/>
      <c r="K96" s="249"/>
      <c r="L96" s="249"/>
      <c r="M96" s="249"/>
      <c r="N96" s="249"/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50"/>
  <sheetViews>
    <sheetView showGridLines="0" zoomScaleNormal="100" workbookViewId="0">
      <pane ySplit="7" topLeftCell="A45" activePane="bottomLeft" state="frozen"/>
      <selection pane="bottomLeft" activeCell="G1" sqref="A1:G50"/>
    </sheetView>
  </sheetViews>
  <sheetFormatPr baseColWidth="10" defaultRowHeight="15.5" outlineLevelCol="1"/>
  <cols>
    <col min="1" max="1" width="6.33203125" customWidth="1"/>
    <col min="2" max="2" width="6.6640625" style="249" customWidth="1"/>
    <col min="3" max="3" width="28.1640625" style="247" customWidth="1"/>
    <col min="4" max="4" width="10.9140625" style="248" customWidth="1"/>
    <col min="5" max="5" width="9.75" style="248" customWidth="1"/>
    <col min="6" max="6" width="10.58203125" style="249" customWidth="1"/>
    <col min="7" max="7" width="10.6640625" customWidth="1"/>
    <col min="8" max="8" width="8.1640625" customWidth="1"/>
    <col min="9" max="9" width="6.33203125" hidden="1" customWidth="1" outlineLevel="1"/>
    <col min="10" max="10" width="6.6640625" style="249" hidden="1" customWidth="1" outlineLevel="1"/>
    <col min="11" max="11" width="28.1640625" style="247" hidden="1" customWidth="1" outlineLevel="1"/>
    <col min="12" max="12" width="10.9140625" style="248" hidden="1" customWidth="1" outlineLevel="1"/>
    <col min="13" max="13" width="9.75" style="248" hidden="1" customWidth="1" outlineLevel="1"/>
    <col min="14" max="14" width="10.58203125" style="249" hidden="1" customWidth="1" outlineLevel="1"/>
    <col min="15" max="16" width="10.6640625" hidden="1" customWidth="1" outlineLevel="1"/>
    <col min="17" max="17" width="6.33203125" customWidth="1" collapsed="1"/>
    <col min="18" max="18" width="6.6640625" style="249" customWidth="1"/>
    <col min="19" max="19" width="28.1640625" style="247" customWidth="1"/>
    <col min="20" max="20" width="10.9140625" style="248" customWidth="1"/>
    <col min="21" max="21" width="9.75" style="248" customWidth="1"/>
    <col min="22" max="22" width="10.58203125" style="249" customWidth="1"/>
    <col min="24" max="24" width="10.6640625" style="240"/>
    <col min="25" max="25" width="16" style="1162" customWidth="1"/>
  </cols>
  <sheetData>
    <row r="1" spans="1:25" s="254" customFormat="1" ht="23.5">
      <c r="A1" s="1436" t="s">
        <v>1005</v>
      </c>
      <c r="B1" s="1436"/>
      <c r="C1" s="1436"/>
      <c r="D1" s="1436"/>
      <c r="E1" s="1436"/>
      <c r="F1" s="1436"/>
      <c r="G1" s="254" t="s">
        <v>1004</v>
      </c>
      <c r="I1" s="1436" t="s">
        <v>877</v>
      </c>
      <c r="J1" s="1436"/>
      <c r="K1" s="1436"/>
      <c r="L1" s="1436"/>
      <c r="M1" s="1436"/>
      <c r="N1" s="1436"/>
      <c r="O1" s="254" t="s">
        <v>724</v>
      </c>
      <c r="Q1" s="1436" t="s">
        <v>879</v>
      </c>
      <c r="R1" s="1436"/>
      <c r="S1" s="1436"/>
      <c r="T1" s="1436"/>
      <c r="U1" s="1436"/>
      <c r="V1" s="1436"/>
      <c r="X1" s="729"/>
      <c r="Y1" s="722"/>
    </row>
    <row r="2" spans="1:25" s="446" customFormat="1" ht="23.5">
      <c r="A2" s="445"/>
      <c r="B2" s="445"/>
      <c r="C2" s="445"/>
      <c r="D2" s="445"/>
      <c r="E2" s="445"/>
      <c r="F2" s="445"/>
      <c r="I2" s="445"/>
      <c r="J2" s="445"/>
      <c r="K2" s="445"/>
      <c r="L2" s="445"/>
      <c r="M2" s="445"/>
      <c r="N2" s="445"/>
      <c r="Q2" s="445"/>
      <c r="R2" s="445"/>
      <c r="S2" s="445"/>
      <c r="T2" s="445"/>
      <c r="U2" s="445"/>
      <c r="V2" s="445"/>
      <c r="X2" s="1155"/>
      <c r="Y2" s="1161"/>
    </row>
    <row r="3" spans="1:25">
      <c r="A3" s="60" t="s">
        <v>169</v>
      </c>
      <c r="B3" t="s">
        <v>852</v>
      </c>
      <c r="I3" s="60" t="s">
        <v>169</v>
      </c>
      <c r="J3" t="s">
        <v>724</v>
      </c>
      <c r="Q3" s="60" t="s">
        <v>169</v>
      </c>
      <c r="R3" t="s">
        <v>875</v>
      </c>
    </row>
    <row r="4" spans="1:25">
      <c r="A4" s="60" t="s">
        <v>174</v>
      </c>
      <c r="B4" s="102">
        <v>2025</v>
      </c>
      <c r="I4" s="60" t="s">
        <v>174</v>
      </c>
      <c r="J4" s="102">
        <v>2024</v>
      </c>
      <c r="Q4" s="60" t="s">
        <v>174</v>
      </c>
      <c r="R4" s="102">
        <v>2024</v>
      </c>
    </row>
    <row r="5" spans="1:25" ht="8.5" customHeight="1"/>
    <row r="6" spans="1:25">
      <c r="A6" s="60" t="s">
        <v>316</v>
      </c>
      <c r="B6"/>
      <c r="C6"/>
      <c r="D6" s="60" t="s">
        <v>406</v>
      </c>
      <c r="F6" s="248"/>
      <c r="G6" s="248"/>
      <c r="I6" s="60" t="s">
        <v>316</v>
      </c>
      <c r="J6"/>
      <c r="K6"/>
      <c r="L6" s="60" t="s">
        <v>406</v>
      </c>
      <c r="N6" s="248"/>
      <c r="O6" s="248"/>
      <c r="Q6" s="60" t="s">
        <v>316</v>
      </c>
      <c r="R6"/>
      <c r="S6"/>
      <c r="T6" s="60" t="s">
        <v>406</v>
      </c>
      <c r="V6" s="248"/>
      <c r="W6" s="248"/>
    </row>
    <row r="7" spans="1:25" s="257" customFormat="1" ht="24">
      <c r="A7" s="255" t="s">
        <v>164</v>
      </c>
      <c r="B7" s="255" t="s">
        <v>226</v>
      </c>
      <c r="C7" s="255" t="s">
        <v>407</v>
      </c>
      <c r="D7" s="257" t="s">
        <v>404</v>
      </c>
      <c r="E7" s="257" t="s">
        <v>433</v>
      </c>
      <c r="F7" s="257" t="s">
        <v>997</v>
      </c>
      <c r="G7" s="256" t="s">
        <v>165</v>
      </c>
      <c r="H7"/>
      <c r="I7" s="255" t="s">
        <v>164</v>
      </c>
      <c r="J7" s="255" t="s">
        <v>226</v>
      </c>
      <c r="K7" s="255" t="s">
        <v>407</v>
      </c>
      <c r="L7" s="257" t="s">
        <v>404</v>
      </c>
      <c r="M7" s="257" t="s">
        <v>433</v>
      </c>
      <c r="N7" s="257" t="s">
        <v>881</v>
      </c>
      <c r="O7" s="256" t="s">
        <v>165</v>
      </c>
      <c r="Q7" s="255" t="s">
        <v>164</v>
      </c>
      <c r="R7" s="255" t="s">
        <v>226</v>
      </c>
      <c r="S7" s="255" t="s">
        <v>407</v>
      </c>
      <c r="T7" s="257" t="s">
        <v>404</v>
      </c>
      <c r="U7" s="257" t="s">
        <v>433</v>
      </c>
      <c r="V7" s="257" t="s">
        <v>881</v>
      </c>
      <c r="W7" s="256" t="s">
        <v>165</v>
      </c>
      <c r="X7" s="1158"/>
      <c r="Y7" s="1163"/>
    </row>
    <row r="8" spans="1:25" s="238" customFormat="1">
      <c r="A8" s="238" t="s">
        <v>158</v>
      </c>
      <c r="B8">
        <v>7430</v>
      </c>
      <c r="C8" t="s">
        <v>579</v>
      </c>
      <c r="D8" s="249"/>
      <c r="E8" s="249">
        <v>0</v>
      </c>
      <c r="F8" s="249">
        <v>3750</v>
      </c>
      <c r="G8" s="249">
        <v>3750</v>
      </c>
      <c r="H8"/>
      <c r="I8" s="238" t="s">
        <v>158</v>
      </c>
      <c r="J8" s="238">
        <v>7410</v>
      </c>
      <c r="K8" t="s">
        <v>577</v>
      </c>
      <c r="L8" s="249"/>
      <c r="M8" s="249">
        <v>15000</v>
      </c>
      <c r="N8" s="249"/>
      <c r="O8" s="249">
        <v>15000</v>
      </c>
      <c r="Q8" s="238" t="s">
        <v>158</v>
      </c>
      <c r="R8" s="238">
        <v>7410</v>
      </c>
      <c r="S8" t="s">
        <v>577</v>
      </c>
      <c r="T8" s="249"/>
      <c r="U8" s="249">
        <v>15000</v>
      </c>
      <c r="V8" s="249"/>
      <c r="W8" s="249">
        <v>15000</v>
      </c>
      <c r="X8" s="1157"/>
      <c r="Y8" s="1160"/>
    </row>
    <row r="9" spans="1:25" s="238" customFormat="1">
      <c r="B9">
        <v>7440</v>
      </c>
      <c r="C9" t="s">
        <v>762</v>
      </c>
      <c r="D9" s="249"/>
      <c r="E9" s="249"/>
      <c r="F9" s="249">
        <v>0</v>
      </c>
      <c r="G9" s="249">
        <v>0</v>
      </c>
      <c r="H9"/>
      <c r="J9">
        <v>7420</v>
      </c>
      <c r="K9" t="s">
        <v>578</v>
      </c>
      <c r="L9" s="249"/>
      <c r="M9" s="249">
        <v>3333</v>
      </c>
      <c r="N9" s="249"/>
      <c r="O9" s="249">
        <v>3333</v>
      </c>
      <c r="R9">
        <v>7420</v>
      </c>
      <c r="S9" t="s">
        <v>578</v>
      </c>
      <c r="T9" s="249"/>
      <c r="U9" s="249">
        <v>3333</v>
      </c>
      <c r="V9" s="249"/>
      <c r="W9" s="249">
        <v>3333</v>
      </c>
      <c r="X9" s="1157"/>
      <c r="Y9" s="1160"/>
    </row>
    <row r="10" spans="1:25" s="238" customFormat="1">
      <c r="B10">
        <v>7450</v>
      </c>
      <c r="C10" t="s">
        <v>763</v>
      </c>
      <c r="D10" s="249"/>
      <c r="E10" s="249"/>
      <c r="F10" s="249">
        <v>2074</v>
      </c>
      <c r="G10" s="249">
        <v>2074</v>
      </c>
      <c r="H10"/>
      <c r="J10">
        <v>7430</v>
      </c>
      <c r="K10" t="s">
        <v>579</v>
      </c>
      <c r="L10" s="249"/>
      <c r="M10" s="249">
        <v>16344.199999999997</v>
      </c>
      <c r="N10" s="249">
        <v>18530.25</v>
      </c>
      <c r="O10" s="249">
        <v>34874.449999999997</v>
      </c>
      <c r="R10">
        <v>7430</v>
      </c>
      <c r="S10" t="s">
        <v>579</v>
      </c>
      <c r="T10" s="249"/>
      <c r="U10" s="249">
        <v>16344.199999999997</v>
      </c>
      <c r="V10" s="249">
        <v>18250</v>
      </c>
      <c r="W10" s="249">
        <v>34594.199999999997</v>
      </c>
      <c r="X10" s="1157"/>
      <c r="Y10" s="1160"/>
    </row>
    <row r="11" spans="1:25" s="238" customFormat="1">
      <c r="B11" s="238">
        <v>7480</v>
      </c>
      <c r="C11" t="s">
        <v>285</v>
      </c>
      <c r="D11" s="249"/>
      <c r="E11" s="249"/>
      <c r="F11" s="249">
        <v>912.5</v>
      </c>
      <c r="G11" s="249">
        <v>912.5</v>
      </c>
      <c r="H11"/>
      <c r="J11">
        <v>7440</v>
      </c>
      <c r="K11" t="s">
        <v>762</v>
      </c>
      <c r="L11" s="249"/>
      <c r="M11" s="249"/>
      <c r="N11" s="249">
        <v>10000</v>
      </c>
      <c r="O11" s="249">
        <v>10000</v>
      </c>
      <c r="R11">
        <v>7440</v>
      </c>
      <c r="S11" t="s">
        <v>762</v>
      </c>
      <c r="T11" s="249"/>
      <c r="U11" s="249"/>
      <c r="V11" s="249">
        <v>12500</v>
      </c>
      <c r="W11" s="249">
        <v>12500</v>
      </c>
      <c r="X11" s="1156">
        <f t="shared" ref="X11:X43" si="0">+W11-O11</f>
        <v>2500</v>
      </c>
      <c r="Y11" s="1160"/>
    </row>
    <row r="12" spans="1:25" s="238" customFormat="1">
      <c r="B12" s="238">
        <v>7581</v>
      </c>
      <c r="C12" t="s">
        <v>277</v>
      </c>
      <c r="D12" s="249">
        <v>1500</v>
      </c>
      <c r="E12" s="249"/>
      <c r="F12" s="249"/>
      <c r="G12" s="249">
        <v>1500</v>
      </c>
      <c r="H12"/>
      <c r="J12">
        <v>7450</v>
      </c>
      <c r="K12" t="s">
        <v>763</v>
      </c>
      <c r="L12" s="249"/>
      <c r="M12" s="249"/>
      <c r="N12" s="249">
        <v>3750</v>
      </c>
      <c r="O12" s="249">
        <v>3750</v>
      </c>
      <c r="R12">
        <v>7450</v>
      </c>
      <c r="S12" t="s">
        <v>763</v>
      </c>
      <c r="T12" s="249"/>
      <c r="U12" s="249"/>
      <c r="V12" s="249">
        <v>2074</v>
      </c>
      <c r="W12" s="249">
        <v>2074</v>
      </c>
      <c r="X12" s="1156">
        <f t="shared" si="0"/>
        <v>-1676</v>
      </c>
      <c r="Y12" s="1160"/>
    </row>
    <row r="13" spans="1:25" s="238" customFormat="1">
      <c r="B13">
        <v>7660</v>
      </c>
      <c r="C13" t="s">
        <v>61</v>
      </c>
      <c r="D13" s="249">
        <v>0.34</v>
      </c>
      <c r="E13" s="249"/>
      <c r="F13" s="249"/>
      <c r="G13" s="249">
        <v>0.34</v>
      </c>
      <c r="H13"/>
      <c r="J13" s="238">
        <v>7480</v>
      </c>
      <c r="K13" t="s">
        <v>880</v>
      </c>
      <c r="L13" s="249"/>
      <c r="M13" s="249"/>
      <c r="N13" s="249">
        <v>875</v>
      </c>
      <c r="O13" s="249">
        <v>875</v>
      </c>
      <c r="R13" s="238">
        <v>7480</v>
      </c>
      <c r="S13" t="s">
        <v>880</v>
      </c>
      <c r="T13" s="249"/>
      <c r="U13" s="249"/>
      <c r="V13" s="249">
        <v>0</v>
      </c>
      <c r="W13" s="249">
        <v>0</v>
      </c>
      <c r="X13" s="1156">
        <f t="shared" si="0"/>
        <v>-875</v>
      </c>
      <c r="Y13" s="1160"/>
    </row>
    <row r="14" spans="1:25" s="238" customFormat="1">
      <c r="B14">
        <v>7770</v>
      </c>
      <c r="C14" t="s">
        <v>65</v>
      </c>
      <c r="D14" s="249">
        <v>1200</v>
      </c>
      <c r="E14" s="249"/>
      <c r="F14" s="249">
        <v>0</v>
      </c>
      <c r="G14" s="249">
        <v>1200</v>
      </c>
      <c r="H14"/>
      <c r="J14" s="238">
        <v>7581</v>
      </c>
      <c r="K14" t="s">
        <v>277</v>
      </c>
      <c r="L14" s="249">
        <v>1500</v>
      </c>
      <c r="M14" s="249"/>
      <c r="N14" s="249"/>
      <c r="O14" s="249">
        <v>1500</v>
      </c>
      <c r="R14" s="238">
        <v>7581</v>
      </c>
      <c r="S14" t="s">
        <v>277</v>
      </c>
      <c r="T14" s="249">
        <v>1500</v>
      </c>
      <c r="U14" s="249"/>
      <c r="V14" s="249"/>
      <c r="W14" s="249">
        <v>1500</v>
      </c>
      <c r="X14" s="1156">
        <f t="shared" si="0"/>
        <v>0</v>
      </c>
      <c r="Y14" s="1160"/>
    </row>
    <row r="15" spans="1:25" s="238" customFormat="1">
      <c r="B15" s="238">
        <v>7771</v>
      </c>
      <c r="C15" t="s">
        <v>281</v>
      </c>
      <c r="D15" s="249">
        <v>5229.78</v>
      </c>
      <c r="E15" s="249"/>
      <c r="F15" s="249"/>
      <c r="G15" s="249">
        <v>5229.78</v>
      </c>
      <c r="H15"/>
      <c r="J15">
        <v>7660</v>
      </c>
      <c r="K15" t="s">
        <v>61</v>
      </c>
      <c r="L15" s="249">
        <v>0.34</v>
      </c>
      <c r="M15" s="249"/>
      <c r="N15" s="249"/>
      <c r="O15" s="249">
        <v>0.34</v>
      </c>
      <c r="R15">
        <v>7660</v>
      </c>
      <c r="S15" t="s">
        <v>61</v>
      </c>
      <c r="T15" s="249">
        <v>0.34</v>
      </c>
      <c r="U15" s="249"/>
      <c r="V15" s="249"/>
      <c r="W15" s="249">
        <v>0.34</v>
      </c>
      <c r="X15" s="1156">
        <f t="shared" si="0"/>
        <v>0</v>
      </c>
      <c r="Y15" s="1160"/>
    </row>
    <row r="16" spans="1:25" s="238" customFormat="1">
      <c r="B16">
        <v>7772</v>
      </c>
      <c r="C16" t="s">
        <v>69</v>
      </c>
      <c r="D16" s="249">
        <v>912.5</v>
      </c>
      <c r="E16" s="249"/>
      <c r="F16" s="249"/>
      <c r="G16" s="249">
        <v>912.5</v>
      </c>
      <c r="H16"/>
      <c r="J16">
        <v>7770</v>
      </c>
      <c r="K16" t="s">
        <v>65</v>
      </c>
      <c r="L16" s="249">
        <v>1200</v>
      </c>
      <c r="M16" s="249">
        <v>0</v>
      </c>
      <c r="N16" s="249">
        <v>0</v>
      </c>
      <c r="O16" s="249">
        <v>1200</v>
      </c>
      <c r="R16">
        <v>7770</v>
      </c>
      <c r="S16" t="s">
        <v>65</v>
      </c>
      <c r="T16" s="249">
        <v>1200</v>
      </c>
      <c r="U16" s="249">
        <v>0</v>
      </c>
      <c r="V16" s="249">
        <v>0</v>
      </c>
      <c r="W16" s="249">
        <v>1200</v>
      </c>
      <c r="X16" s="1156">
        <f t="shared" si="0"/>
        <v>0</v>
      </c>
      <c r="Y16" s="1160"/>
    </row>
    <row r="17" spans="1:25" s="238" customFormat="1">
      <c r="B17">
        <v>8710</v>
      </c>
      <c r="C17" t="s">
        <v>146</v>
      </c>
      <c r="D17" s="249"/>
      <c r="E17" s="249"/>
      <c r="F17" s="249">
        <v>1825</v>
      </c>
      <c r="G17" s="249">
        <v>1825</v>
      </c>
      <c r="H17"/>
      <c r="J17" s="238">
        <v>7771</v>
      </c>
      <c r="K17" t="s">
        <v>281</v>
      </c>
      <c r="L17" s="249">
        <v>3729.7799999999997</v>
      </c>
      <c r="M17" s="249"/>
      <c r="N17" s="249"/>
      <c r="O17" s="249">
        <v>3729.7799999999997</v>
      </c>
      <c r="R17" s="238">
        <v>7771</v>
      </c>
      <c r="S17" t="s">
        <v>281</v>
      </c>
      <c r="T17" s="249">
        <v>5229.78</v>
      </c>
      <c r="U17" s="249"/>
      <c r="V17" s="249"/>
      <c r="W17" s="249">
        <v>5229.78</v>
      </c>
      <c r="X17" s="1156">
        <f t="shared" si="0"/>
        <v>1500</v>
      </c>
      <c r="Y17" s="1160" t="s">
        <v>885</v>
      </c>
    </row>
    <row r="18" spans="1:25" s="238" customFormat="1">
      <c r="A18" s="253" t="s">
        <v>402</v>
      </c>
      <c r="B18" s="253"/>
      <c r="C18" s="253"/>
      <c r="D18" s="251">
        <v>8842.619999999999</v>
      </c>
      <c r="E18" s="251">
        <v>0</v>
      </c>
      <c r="F18" s="251">
        <v>8561.5</v>
      </c>
      <c r="G18" s="251">
        <v>17404.12</v>
      </c>
      <c r="H18"/>
      <c r="J18">
        <v>7772</v>
      </c>
      <c r="K18" t="s">
        <v>69</v>
      </c>
      <c r="L18" s="249">
        <v>0</v>
      </c>
      <c r="M18" s="249"/>
      <c r="N18" s="249"/>
      <c r="O18" s="249">
        <v>0</v>
      </c>
      <c r="R18">
        <v>7772</v>
      </c>
      <c r="S18" t="s">
        <v>69</v>
      </c>
      <c r="T18" s="249">
        <v>912.5</v>
      </c>
      <c r="U18" s="249"/>
      <c r="V18" s="249"/>
      <c r="W18" s="249">
        <v>912.5</v>
      </c>
      <c r="X18" s="1156">
        <f t="shared" si="0"/>
        <v>912.5</v>
      </c>
      <c r="Y18" s="1160" t="s">
        <v>884</v>
      </c>
    </row>
    <row r="19" spans="1:25" s="238" customFormat="1">
      <c r="A19" s="238" t="s">
        <v>157</v>
      </c>
      <c r="B19" s="238">
        <v>6040</v>
      </c>
      <c r="C19" t="s">
        <v>284</v>
      </c>
      <c r="D19" s="249">
        <v>-1200</v>
      </c>
      <c r="E19" s="249"/>
      <c r="F19" s="249"/>
      <c r="G19" s="249">
        <v>-1200</v>
      </c>
      <c r="H19"/>
      <c r="J19">
        <v>8710</v>
      </c>
      <c r="K19" t="s">
        <v>146</v>
      </c>
      <c r="L19" s="249"/>
      <c r="M19" s="249"/>
      <c r="N19" s="249">
        <v>1087.5</v>
      </c>
      <c r="O19" s="249">
        <v>1087.5</v>
      </c>
      <c r="R19">
        <v>8710</v>
      </c>
      <c r="S19" t="s">
        <v>146</v>
      </c>
      <c r="T19" s="249"/>
      <c r="U19" s="249"/>
      <c r="V19" s="249">
        <v>1825</v>
      </c>
      <c r="W19" s="249">
        <v>1825</v>
      </c>
      <c r="X19" s="1156">
        <f t="shared" si="0"/>
        <v>737.5</v>
      </c>
      <c r="Y19" s="1160" t="s">
        <v>890</v>
      </c>
    </row>
    <row r="20" spans="1:25" s="238" customFormat="1">
      <c r="B20" s="238">
        <v>6064</v>
      </c>
      <c r="C20" t="s">
        <v>278</v>
      </c>
      <c r="D20" s="249">
        <v>-73.09</v>
      </c>
      <c r="E20" s="249"/>
      <c r="F20" s="249"/>
      <c r="G20" s="249">
        <v>-73.09</v>
      </c>
      <c r="H20"/>
      <c r="I20" s="253" t="s">
        <v>402</v>
      </c>
      <c r="J20" s="253"/>
      <c r="K20" s="253"/>
      <c r="L20" s="251">
        <v>6430.12</v>
      </c>
      <c r="M20" s="251">
        <v>34677.199999999997</v>
      </c>
      <c r="N20" s="251">
        <v>34242.75</v>
      </c>
      <c r="O20" s="251">
        <v>75350.069999999992</v>
      </c>
      <c r="Q20" s="253" t="s">
        <v>402</v>
      </c>
      <c r="R20" s="253"/>
      <c r="S20" s="253"/>
      <c r="T20" s="251">
        <v>8842.619999999999</v>
      </c>
      <c r="U20" s="251">
        <v>34677.199999999997</v>
      </c>
      <c r="V20" s="251">
        <v>34649</v>
      </c>
      <c r="W20" s="251">
        <v>78168.819999999992</v>
      </c>
      <c r="X20" s="1056">
        <f t="shared" si="0"/>
        <v>2818.75</v>
      </c>
      <c r="Y20" s="1160"/>
    </row>
    <row r="21" spans="1:25" s="238" customFormat="1">
      <c r="B21" s="238">
        <v>6110</v>
      </c>
      <c r="C21" t="s">
        <v>396</v>
      </c>
      <c r="D21" s="249"/>
      <c r="E21" s="249"/>
      <c r="F21" s="249">
        <v>-30624</v>
      </c>
      <c r="G21" s="249">
        <v>-30624</v>
      </c>
      <c r="H21"/>
      <c r="I21" s="238" t="s">
        <v>157</v>
      </c>
      <c r="J21" s="238">
        <v>6040</v>
      </c>
      <c r="K21" t="s">
        <v>284</v>
      </c>
      <c r="L21" s="249">
        <v>-1200</v>
      </c>
      <c r="M21" s="249"/>
      <c r="N21" s="249"/>
      <c r="O21" s="249">
        <v>-1200</v>
      </c>
      <c r="Q21" s="238" t="s">
        <v>157</v>
      </c>
      <c r="R21" s="238">
        <v>6040</v>
      </c>
      <c r="S21" t="s">
        <v>284</v>
      </c>
      <c r="T21" s="249">
        <v>-1200</v>
      </c>
      <c r="U21" s="249"/>
      <c r="V21" s="249"/>
      <c r="W21" s="249">
        <v>-1200</v>
      </c>
      <c r="X21" s="1156">
        <f t="shared" si="0"/>
        <v>0</v>
      </c>
      <c r="Y21" s="1160"/>
    </row>
    <row r="22" spans="1:25" s="238" customFormat="1">
      <c r="B22" s="238">
        <v>6160</v>
      </c>
      <c r="C22" t="s">
        <v>279</v>
      </c>
      <c r="D22" s="249">
        <v>-116.1</v>
      </c>
      <c r="E22" s="249"/>
      <c r="F22" s="249"/>
      <c r="G22" s="249">
        <v>-116.1</v>
      </c>
      <c r="H22"/>
      <c r="J22" s="238">
        <v>6064</v>
      </c>
      <c r="K22" t="s">
        <v>278</v>
      </c>
      <c r="L22" s="249">
        <v>-73.09</v>
      </c>
      <c r="M22" s="249"/>
      <c r="N22" s="249"/>
      <c r="O22" s="249">
        <v>-73.09</v>
      </c>
      <c r="R22" s="238">
        <v>6064</v>
      </c>
      <c r="S22" t="s">
        <v>278</v>
      </c>
      <c r="T22" s="249">
        <v>-73.09</v>
      </c>
      <c r="U22" s="249"/>
      <c r="V22" s="249"/>
      <c r="W22" s="249">
        <v>-73.09</v>
      </c>
      <c r="X22" s="1156">
        <f t="shared" si="0"/>
        <v>0</v>
      </c>
      <c r="Y22" s="1160"/>
    </row>
    <row r="23" spans="1:25" s="238" customFormat="1">
      <c r="B23">
        <v>6228</v>
      </c>
      <c r="C23" t="s">
        <v>432</v>
      </c>
      <c r="D23" s="249"/>
      <c r="E23" s="249"/>
      <c r="F23" s="249">
        <v>-3150</v>
      </c>
      <c r="G23" s="249">
        <v>-3150</v>
      </c>
      <c r="H23"/>
      <c r="J23" s="238">
        <v>6110</v>
      </c>
      <c r="K23" t="s">
        <v>396</v>
      </c>
      <c r="L23" s="249"/>
      <c r="M23" s="249">
        <v>-28576</v>
      </c>
      <c r="N23" s="249">
        <v>-30449</v>
      </c>
      <c r="O23" s="249">
        <v>-59025</v>
      </c>
      <c r="R23" s="238">
        <v>6110</v>
      </c>
      <c r="S23" t="s">
        <v>396</v>
      </c>
      <c r="T23" s="249"/>
      <c r="U23" s="249">
        <v>-28576</v>
      </c>
      <c r="V23" s="249">
        <v>-30624</v>
      </c>
      <c r="W23" s="249">
        <v>-59200</v>
      </c>
      <c r="X23" s="1156">
        <f t="shared" si="0"/>
        <v>-175</v>
      </c>
      <c r="Y23" s="1160"/>
    </row>
    <row r="24" spans="1:25" s="238" customFormat="1">
      <c r="B24" s="238">
        <v>6230</v>
      </c>
      <c r="C24" t="s">
        <v>409</v>
      </c>
      <c r="D24" s="249">
        <v>-141.65599999999998</v>
      </c>
      <c r="E24" s="249"/>
      <c r="F24" s="249">
        <v>-1325</v>
      </c>
      <c r="G24" s="249">
        <v>-1466.6559999999999</v>
      </c>
      <c r="H24"/>
      <c r="J24" s="238">
        <v>6160</v>
      </c>
      <c r="K24" t="s">
        <v>279</v>
      </c>
      <c r="L24" s="249">
        <v>-116.1</v>
      </c>
      <c r="M24" s="249"/>
      <c r="N24" s="249"/>
      <c r="O24" s="249">
        <v>-116.1</v>
      </c>
      <c r="R24" s="238">
        <v>6160</v>
      </c>
      <c r="S24" t="s">
        <v>279</v>
      </c>
      <c r="T24" s="249">
        <v>-116.1</v>
      </c>
      <c r="U24" s="249"/>
      <c r="V24" s="249"/>
      <c r="W24" s="249">
        <v>-116.1</v>
      </c>
      <c r="X24" s="1156">
        <f t="shared" si="0"/>
        <v>0</v>
      </c>
      <c r="Y24" s="1160"/>
    </row>
    <row r="25" spans="1:25" s="238" customFormat="1">
      <c r="B25">
        <v>6250</v>
      </c>
      <c r="C25" t="s">
        <v>313</v>
      </c>
      <c r="D25" s="249"/>
      <c r="E25" s="249"/>
      <c r="F25" s="249">
        <v>-1348.24</v>
      </c>
      <c r="G25" s="249">
        <v>-1348.24</v>
      </c>
      <c r="H25"/>
      <c r="J25">
        <v>6228</v>
      </c>
      <c r="K25" t="s">
        <v>432</v>
      </c>
      <c r="L25" s="249"/>
      <c r="M25" s="249"/>
      <c r="N25" s="249">
        <v>-1512.5</v>
      </c>
      <c r="O25" s="249">
        <v>-1512.5</v>
      </c>
      <c r="R25">
        <v>6228</v>
      </c>
      <c r="S25" t="s">
        <v>432</v>
      </c>
      <c r="T25" s="249"/>
      <c r="U25" s="249"/>
      <c r="V25" s="249">
        <v>-3150</v>
      </c>
      <c r="W25" s="249">
        <v>-3150</v>
      </c>
      <c r="X25" s="1156">
        <f t="shared" si="0"/>
        <v>-1637.5</v>
      </c>
      <c r="Y25" s="1160"/>
    </row>
    <row r="26" spans="1:25" s="238" customFormat="1">
      <c r="B26" s="238">
        <v>6256</v>
      </c>
      <c r="C26" t="s">
        <v>282</v>
      </c>
      <c r="D26" s="249">
        <v>-1500</v>
      </c>
      <c r="E26" s="249"/>
      <c r="F26" s="249"/>
      <c r="G26" s="249">
        <v>-1500</v>
      </c>
      <c r="H26"/>
      <c r="J26" s="238">
        <v>6230</v>
      </c>
      <c r="K26" t="s">
        <v>409</v>
      </c>
      <c r="L26" s="249">
        <v>-141.65599999999998</v>
      </c>
      <c r="M26" s="249">
        <v>-1333.626</v>
      </c>
      <c r="N26" s="249">
        <v>-450</v>
      </c>
      <c r="O26" s="249">
        <v>-1925.2819999999999</v>
      </c>
      <c r="R26" s="238">
        <v>6230</v>
      </c>
      <c r="S26" t="s">
        <v>409</v>
      </c>
      <c r="T26" s="249">
        <v>-141.65599999999998</v>
      </c>
      <c r="U26" s="249">
        <v>-1333.626</v>
      </c>
      <c r="V26" s="249">
        <v>-1325</v>
      </c>
      <c r="W26" s="249">
        <v>-2800.2820000000002</v>
      </c>
      <c r="X26" s="1156">
        <f t="shared" si="0"/>
        <v>-875.00000000000023</v>
      </c>
      <c r="Y26" s="1160"/>
    </row>
    <row r="27" spans="1:25" s="238" customFormat="1">
      <c r="B27" s="238">
        <v>6261</v>
      </c>
      <c r="C27" t="s">
        <v>280</v>
      </c>
      <c r="D27" s="249">
        <v>-13.92</v>
      </c>
      <c r="E27" s="249"/>
      <c r="F27" s="249"/>
      <c r="G27" s="249">
        <v>-13.92</v>
      </c>
      <c r="H27"/>
      <c r="J27">
        <v>6250</v>
      </c>
      <c r="K27" t="s">
        <v>313</v>
      </c>
      <c r="L27" s="249"/>
      <c r="M27" s="249">
        <v>-5583.14</v>
      </c>
      <c r="N27" s="249">
        <v>-1625</v>
      </c>
      <c r="O27" s="249">
        <v>-7208.14</v>
      </c>
      <c r="R27">
        <v>6250</v>
      </c>
      <c r="S27" t="s">
        <v>313</v>
      </c>
      <c r="T27" s="249"/>
      <c r="U27" s="249">
        <v>-5583.14</v>
      </c>
      <c r="V27" s="249">
        <v>-1375</v>
      </c>
      <c r="W27" s="249">
        <v>-6958.14</v>
      </c>
      <c r="X27" s="1156">
        <f t="shared" si="0"/>
        <v>250</v>
      </c>
      <c r="Y27" s="1160"/>
    </row>
    <row r="28" spans="1:25" s="238" customFormat="1">
      <c r="B28" s="238">
        <v>6281</v>
      </c>
      <c r="C28" t="s">
        <v>340</v>
      </c>
      <c r="D28" s="249">
        <v>-50</v>
      </c>
      <c r="E28" s="249"/>
      <c r="F28" s="249"/>
      <c r="G28" s="249">
        <v>-50</v>
      </c>
      <c r="H28"/>
      <c r="J28" s="238">
        <v>6256</v>
      </c>
      <c r="K28" t="s">
        <v>282</v>
      </c>
      <c r="L28" s="249">
        <v>0</v>
      </c>
      <c r="M28" s="249"/>
      <c r="N28" s="249"/>
      <c r="O28" s="249">
        <v>0</v>
      </c>
      <c r="R28" s="238">
        <v>6256</v>
      </c>
      <c r="S28" t="s">
        <v>282</v>
      </c>
      <c r="T28" s="249">
        <v>-1500</v>
      </c>
      <c r="U28" s="249"/>
      <c r="V28" s="249"/>
      <c r="W28" s="249">
        <v>-1500</v>
      </c>
      <c r="X28" s="1156">
        <f t="shared" si="0"/>
        <v>-1500</v>
      </c>
      <c r="Y28" s="1160" t="s">
        <v>887</v>
      </c>
    </row>
    <row r="29" spans="1:25" s="238" customFormat="1">
      <c r="B29">
        <v>8620</v>
      </c>
      <c r="C29" t="s">
        <v>145</v>
      </c>
      <c r="D29" s="249"/>
      <c r="E29" s="249"/>
      <c r="F29" s="249">
        <v>0</v>
      </c>
      <c r="G29" s="249">
        <v>0</v>
      </c>
      <c r="H29"/>
      <c r="J29" s="238">
        <v>6261</v>
      </c>
      <c r="K29" t="s">
        <v>280</v>
      </c>
      <c r="L29" s="249">
        <v>-13.92</v>
      </c>
      <c r="M29" s="249">
        <v>-1379.2</v>
      </c>
      <c r="N29" s="249"/>
      <c r="O29" s="249">
        <v>-1393.1200000000001</v>
      </c>
      <c r="R29" s="238">
        <v>6261</v>
      </c>
      <c r="S29" t="s">
        <v>280</v>
      </c>
      <c r="T29" s="249">
        <v>-13.92</v>
      </c>
      <c r="U29" s="249">
        <v>-1379.2</v>
      </c>
      <c r="V29" s="249"/>
      <c r="W29" s="249">
        <v>-1393.1200000000001</v>
      </c>
      <c r="X29" s="1156">
        <f t="shared" si="0"/>
        <v>0</v>
      </c>
      <c r="Y29" s="1160"/>
    </row>
    <row r="30" spans="1:25" s="238" customFormat="1">
      <c r="A30" s="253" t="s">
        <v>403</v>
      </c>
      <c r="B30" s="253"/>
      <c r="C30" s="253"/>
      <c r="D30" s="251">
        <v>-3094.7659999999996</v>
      </c>
      <c r="E30" s="251"/>
      <c r="F30" s="251">
        <v>-36447.24</v>
      </c>
      <c r="G30" s="251">
        <v>-39542.006000000001</v>
      </c>
      <c r="H30"/>
      <c r="J30" s="238">
        <v>6281</v>
      </c>
      <c r="K30" t="s">
        <v>340</v>
      </c>
      <c r="L30" s="249">
        <v>-50</v>
      </c>
      <c r="M30" s="249"/>
      <c r="N30" s="249"/>
      <c r="O30" s="249">
        <v>-50</v>
      </c>
      <c r="R30" s="238">
        <v>6281</v>
      </c>
      <c r="S30" t="s">
        <v>340</v>
      </c>
      <c r="T30" s="249">
        <v>-50</v>
      </c>
      <c r="U30" s="249"/>
      <c r="V30" s="249"/>
      <c r="W30" s="249">
        <v>-50</v>
      </c>
      <c r="X30" s="1156">
        <f t="shared" si="0"/>
        <v>0</v>
      </c>
      <c r="Y30" s="1160"/>
    </row>
    <row r="31" spans="1:25" s="238" customFormat="1">
      <c r="A31" s="238" t="s">
        <v>165</v>
      </c>
      <c r="D31" s="249">
        <v>5747.8539999999985</v>
      </c>
      <c r="E31" s="249">
        <v>0</v>
      </c>
      <c r="F31" s="249">
        <v>-27885.74</v>
      </c>
      <c r="G31" s="249">
        <v>-22137.885999999999</v>
      </c>
      <c r="H31"/>
      <c r="J31">
        <v>8620</v>
      </c>
      <c r="K31" t="s">
        <v>145</v>
      </c>
      <c r="L31" s="249"/>
      <c r="M31" s="249"/>
      <c r="N31" s="249">
        <v>-1087.5</v>
      </c>
      <c r="O31" s="249">
        <v>-1087.5</v>
      </c>
      <c r="R31">
        <v>8620</v>
      </c>
      <c r="S31" t="s">
        <v>145</v>
      </c>
      <c r="T31" s="249"/>
      <c r="U31" s="249"/>
      <c r="V31" s="249">
        <v>0</v>
      </c>
      <c r="W31" s="249">
        <v>0</v>
      </c>
      <c r="X31" s="1156">
        <f t="shared" si="0"/>
        <v>1087.5</v>
      </c>
      <c r="Y31" s="1160" t="s">
        <v>889</v>
      </c>
    </row>
    <row r="32" spans="1:25" s="238" customFormat="1" ht="16" thickBot="1">
      <c r="A32"/>
      <c r="B32"/>
      <c r="C32"/>
      <c r="D32"/>
      <c r="E32"/>
      <c r="F32"/>
      <c r="G32"/>
      <c r="I32" s="253" t="s">
        <v>403</v>
      </c>
      <c r="J32" s="253"/>
      <c r="K32" s="253"/>
      <c r="L32" s="251">
        <v>-1594.7659999999998</v>
      </c>
      <c r="M32" s="251">
        <v>-36871.966</v>
      </c>
      <c r="N32" s="251">
        <v>-35124</v>
      </c>
      <c r="O32" s="251">
        <v>-73590.731999999989</v>
      </c>
      <c r="Q32" s="253" t="s">
        <v>403</v>
      </c>
      <c r="R32" s="253"/>
      <c r="S32" s="253"/>
      <c r="T32" s="251">
        <v>-3094.7659999999996</v>
      </c>
      <c r="U32" s="251">
        <v>-36871.966</v>
      </c>
      <c r="V32" s="251">
        <v>-36474</v>
      </c>
      <c r="W32" s="251">
        <v>-76440.731999999989</v>
      </c>
      <c r="X32" s="1156">
        <f t="shared" si="0"/>
        <v>-2850</v>
      </c>
      <c r="Y32" s="1160"/>
    </row>
    <row r="33" spans="1:25" s="238" customFormat="1">
      <c r="A33" s="481" t="s">
        <v>583</v>
      </c>
      <c r="B33" s="482"/>
      <c r="C33" s="1475"/>
      <c r="D33" s="563">
        <v>2659.1639999999998</v>
      </c>
      <c r="E33" s="564">
        <v>0</v>
      </c>
      <c r="F33" s="1476">
        <v>26973</v>
      </c>
      <c r="G33" s="498">
        <f>SUM(D33:F33)</f>
        <v>29632.164000000001</v>
      </c>
      <c r="I33" s="238" t="s">
        <v>165</v>
      </c>
      <c r="L33" s="249">
        <v>4835.3539999999994</v>
      </c>
      <c r="M33" s="249">
        <v>-2194.7660000000033</v>
      </c>
      <c r="N33" s="249">
        <v>-881.25</v>
      </c>
      <c r="O33" s="249">
        <v>1759.3379999999961</v>
      </c>
      <c r="Q33" s="238" t="s">
        <v>165</v>
      </c>
      <c r="T33" s="249">
        <v>5747.8539999999985</v>
      </c>
      <c r="U33" s="249">
        <v>-2194.7660000000033</v>
      </c>
      <c r="V33" s="249">
        <v>-1825</v>
      </c>
      <c r="W33" s="249">
        <v>1728.0879999999977</v>
      </c>
      <c r="X33" s="1156">
        <f t="shared" si="0"/>
        <v>-31.249999999998408</v>
      </c>
      <c r="Y33" s="1160"/>
    </row>
    <row r="34" spans="1:25" s="238" customFormat="1" ht="16" thickBot="1">
      <c r="A34" s="795" t="s">
        <v>625</v>
      </c>
      <c r="B34" s="796"/>
      <c r="C34" s="796"/>
      <c r="D34" s="797">
        <f>+GETPIVOTDATA("COMPTA",$A$6,"LIB Projet","ADMINIST ET FONCT")</f>
        <v>5747.8539999999985</v>
      </c>
      <c r="E34" s="797">
        <f>+GETPIVOTDATA("COMPTA",$A$6,"LIB Projet","TOILETTES ECOSAN")</f>
        <v>0</v>
      </c>
      <c r="F34" s="797">
        <f>+GETPIVOTDATA("COMPTA",$A$6,"LIB Projet","PROJET FORAGES")</f>
        <v>-27885.74</v>
      </c>
      <c r="G34" s="789">
        <f>SUM(D34:F34)</f>
        <v>-22137.886000000002</v>
      </c>
      <c r="L34" s="249"/>
      <c r="M34" s="249"/>
      <c r="N34" s="249"/>
      <c r="O34" s="249"/>
      <c r="Q34"/>
      <c r="R34"/>
      <c r="S34"/>
      <c r="T34" s="1159">
        <f>T33-L33</f>
        <v>912.49999999999909</v>
      </c>
      <c r="U34" s="1159">
        <f>U33-M33</f>
        <v>0</v>
      </c>
      <c r="V34" s="1159">
        <f>V33-N33</f>
        <v>-943.75</v>
      </c>
      <c r="W34" s="1159">
        <f>W33-O33</f>
        <v>-31.249999999998408</v>
      </c>
      <c r="X34" s="1156">
        <f t="shared" si="0"/>
        <v>-31.249999999998408</v>
      </c>
      <c r="Y34" s="1160"/>
    </row>
    <row r="35" spans="1:25" s="238" customFormat="1">
      <c r="A35" s="798" t="s">
        <v>405</v>
      </c>
      <c r="B35" s="799"/>
      <c r="C35" s="799"/>
      <c r="D35" s="800">
        <f>+D34+D33</f>
        <v>8407.0179999999982</v>
      </c>
      <c r="E35" s="801">
        <f>+E34+E33</f>
        <v>0</v>
      </c>
      <c r="F35" s="801">
        <f>+F34+F33</f>
        <v>-912.7400000000016</v>
      </c>
      <c r="G35" s="802">
        <f>+G34+G33</f>
        <v>7494.2779999999984</v>
      </c>
      <c r="I35" s="481" t="s">
        <v>583</v>
      </c>
      <c r="J35" s="482"/>
      <c r="K35" s="482"/>
      <c r="L35" s="563">
        <v>4389.6440000000002</v>
      </c>
      <c r="M35" s="564">
        <v>-3305.2339999999967</v>
      </c>
      <c r="N35" s="564"/>
      <c r="O35" s="498">
        <f>SUM(L35:N35)</f>
        <v>1084.4100000000035</v>
      </c>
      <c r="Q35" s="481" t="s">
        <v>583</v>
      </c>
      <c r="R35" s="482"/>
      <c r="S35" s="482"/>
      <c r="T35" s="563">
        <v>4389.6440000000002</v>
      </c>
      <c r="U35" s="564">
        <v>-3305.2339999999967</v>
      </c>
      <c r="V35" s="564"/>
      <c r="W35" s="498">
        <f>SUM(T35:V35)</f>
        <v>1084.4100000000035</v>
      </c>
      <c r="X35" s="1156">
        <f t="shared" si="0"/>
        <v>0</v>
      </c>
      <c r="Y35" s="1160"/>
    </row>
    <row r="36" spans="1:25" s="238" customFormat="1">
      <c r="A36" s="420"/>
      <c r="B36" s="421"/>
      <c r="C36" s="804" t="s">
        <v>1009</v>
      </c>
      <c r="D36" s="790">
        <f>F35+0.24</f>
        <v>-912.50000000000159</v>
      </c>
      <c r="E36" s="571"/>
      <c r="F36" s="568">
        <f>-D36</f>
        <v>912.50000000000159</v>
      </c>
      <c r="G36" s="501"/>
      <c r="I36" s="795" t="s">
        <v>625</v>
      </c>
      <c r="J36" s="796"/>
      <c r="K36" s="796"/>
      <c r="L36" s="797">
        <f>+L33</f>
        <v>4835.3539999999994</v>
      </c>
      <c r="M36" s="797">
        <f>+M33</f>
        <v>-2194.7660000000033</v>
      </c>
      <c r="N36" s="797">
        <f>+N33</f>
        <v>-881.25</v>
      </c>
      <c r="O36" s="789">
        <f>+O33</f>
        <v>1759.3379999999961</v>
      </c>
      <c r="Q36" s="795" t="s">
        <v>625</v>
      </c>
      <c r="R36" s="796"/>
      <c r="S36" s="796"/>
      <c r="T36" s="797">
        <f>+T33</f>
        <v>5747.8539999999985</v>
      </c>
      <c r="U36" s="797">
        <f>+U33</f>
        <v>-2194.7660000000033</v>
      </c>
      <c r="V36" s="797">
        <f>+V33</f>
        <v>-1825</v>
      </c>
      <c r="W36" s="789">
        <f>+W33</f>
        <v>1728.0879999999977</v>
      </c>
      <c r="X36" s="1156">
        <f t="shared" si="0"/>
        <v>-31.249999999998408</v>
      </c>
      <c r="Y36" s="1160"/>
    </row>
    <row r="37" spans="1:25" s="238" customFormat="1">
      <c r="A37" s="422"/>
      <c r="B37" s="423"/>
      <c r="C37" s="805"/>
      <c r="D37" s="570"/>
      <c r="E37" s="571"/>
      <c r="F37" s="571"/>
      <c r="G37" s="501"/>
      <c r="I37" s="798" t="s">
        <v>405</v>
      </c>
      <c r="J37" s="799"/>
      <c r="K37" s="799"/>
      <c r="L37" s="800">
        <f>+L36+L35</f>
        <v>9224.9979999999996</v>
      </c>
      <c r="M37" s="801">
        <f>+M36+M35</f>
        <v>-5500</v>
      </c>
      <c r="N37" s="801">
        <f>+N36+N35</f>
        <v>-881.25</v>
      </c>
      <c r="O37" s="802">
        <f>+O36+O35</f>
        <v>2843.7479999999996</v>
      </c>
      <c r="Q37" s="798" t="s">
        <v>405</v>
      </c>
      <c r="R37" s="799"/>
      <c r="S37" s="799"/>
      <c r="T37" s="800">
        <f>+T36+T35</f>
        <v>10137.498</v>
      </c>
      <c r="U37" s="801">
        <f>+U36+U35</f>
        <v>-5500</v>
      </c>
      <c r="V37" s="801">
        <f>+V36+V35</f>
        <v>-1825</v>
      </c>
      <c r="W37" s="802">
        <f>+W36+W35</f>
        <v>2812.4980000000014</v>
      </c>
      <c r="X37" s="1156">
        <f t="shared" si="0"/>
        <v>-31.249999999998181</v>
      </c>
      <c r="Y37" s="1160"/>
    </row>
    <row r="38" spans="1:25" s="238" customFormat="1">
      <c r="A38" s="798" t="s">
        <v>1011</v>
      </c>
      <c r="B38" s="799"/>
      <c r="C38" s="799"/>
      <c r="D38" s="800">
        <f>SUM(D35:D37)</f>
        <v>7494.5179999999964</v>
      </c>
      <c r="E38" s="800">
        <f>SUM(E35:E37)</f>
        <v>0</v>
      </c>
      <c r="F38" s="800">
        <f>SUM(F35:F37)</f>
        <v>-0.24000000000000909</v>
      </c>
      <c r="G38" s="803">
        <f>SUM(G35:G37)</f>
        <v>7494.2779999999984</v>
      </c>
      <c r="I38" s="420"/>
      <c r="J38" s="421"/>
      <c r="K38" s="804" t="s">
        <v>772</v>
      </c>
      <c r="L38" s="790">
        <v>-5500</v>
      </c>
      <c r="M38" s="571">
        <v>5500</v>
      </c>
      <c r="N38" s="568"/>
      <c r="O38" s="501"/>
      <c r="Q38" s="420"/>
      <c r="R38" s="421"/>
      <c r="S38" s="804" t="s">
        <v>772</v>
      </c>
      <c r="T38" s="790">
        <v>-5500</v>
      </c>
      <c r="U38" s="571">
        <v>5500</v>
      </c>
      <c r="V38" s="568"/>
      <c r="W38" s="501"/>
      <c r="X38" s="1156">
        <f t="shared" si="0"/>
        <v>0</v>
      </c>
      <c r="Y38" s="1160"/>
    </row>
    <row r="39" spans="1:25" s="238" customFormat="1">
      <c r="A39" s="793"/>
      <c r="B39" s="794"/>
      <c r="C39" s="794"/>
      <c r="D39" s="806"/>
      <c r="E39" s="806"/>
      <c r="F39" s="806"/>
      <c r="G39" s="806"/>
      <c r="H39" s="238">
        <f>7490-7025</f>
        <v>465</v>
      </c>
      <c r="I39" s="422"/>
      <c r="J39" s="423"/>
      <c r="K39" s="805" t="s">
        <v>771</v>
      </c>
      <c r="L39" s="570"/>
      <c r="M39" s="571"/>
      <c r="N39" s="571"/>
      <c r="O39" s="501"/>
      <c r="P39" s="238">
        <f>7490-7025</f>
        <v>465</v>
      </c>
      <c r="Q39" s="422"/>
      <c r="R39" s="423"/>
      <c r="S39" s="805" t="s">
        <v>771</v>
      </c>
      <c r="T39" s="570"/>
      <c r="U39" s="571"/>
      <c r="V39" s="571"/>
      <c r="W39" s="501"/>
      <c r="X39" s="1156">
        <f t="shared" si="0"/>
        <v>0</v>
      </c>
      <c r="Y39" s="1160"/>
    </row>
    <row r="40" spans="1:25" s="238" customFormat="1" ht="16" thickBot="1">
      <c r="A40" s="791" t="s">
        <v>1010</v>
      </c>
      <c r="B40" s="438"/>
      <c r="C40" s="438"/>
      <c r="D40" s="558">
        <v>2644.1639999999998</v>
      </c>
      <c r="E40" s="1472">
        <v>-1244.8939999999989</v>
      </c>
      <c r="F40" s="1472">
        <v>26973.24</v>
      </c>
      <c r="G40" s="1473">
        <v>28372.510000000002</v>
      </c>
      <c r="I40" s="798" t="s">
        <v>405</v>
      </c>
      <c r="J40" s="799"/>
      <c r="K40" s="799"/>
      <c r="L40" s="800">
        <f>SUM(L37:L39)</f>
        <v>3724.9979999999996</v>
      </c>
      <c r="M40" s="800">
        <f>SUM(M37:M39)</f>
        <v>0</v>
      </c>
      <c r="N40" s="800">
        <f>SUM(N37:N39)</f>
        <v>-881.25</v>
      </c>
      <c r="O40" s="803">
        <f>SUM(O37:O39)</f>
        <v>2843.7479999999996</v>
      </c>
      <c r="Q40" s="798" t="s">
        <v>405</v>
      </c>
      <c r="R40" s="799"/>
      <c r="S40" s="799"/>
      <c r="T40" s="800">
        <f>SUM(T37:T39)</f>
        <v>4637.4979999999996</v>
      </c>
      <c r="U40" s="800">
        <f>SUM(U37:U39)</f>
        <v>0</v>
      </c>
      <c r="V40" s="800">
        <f>SUM(V37:V39)</f>
        <v>-1825</v>
      </c>
      <c r="W40" s="803">
        <f>SUM(W37:W39)</f>
        <v>2812.4980000000014</v>
      </c>
      <c r="X40" s="1156">
        <f t="shared" si="0"/>
        <v>-31.249999999998181</v>
      </c>
      <c r="Y40" s="1160"/>
    </row>
    <row r="41" spans="1:25" s="238" customFormat="1" ht="16" thickBot="1">
      <c r="A41" s="489" t="s">
        <v>526</v>
      </c>
      <c r="B41" s="490"/>
      <c r="C41" s="490"/>
      <c r="D41" s="1388"/>
      <c r="E41" s="1332"/>
      <c r="F41" s="1332"/>
      <c r="G41" s="492"/>
      <c r="I41" s="793"/>
      <c r="J41" s="794"/>
      <c r="K41" s="794"/>
      <c r="L41" s="806"/>
      <c r="M41" s="806"/>
      <c r="N41" s="806"/>
      <c r="O41" s="806"/>
      <c r="Q41" s="793"/>
      <c r="R41" s="794"/>
      <c r="S41" s="794"/>
      <c r="T41" s="806"/>
      <c r="U41" s="806"/>
      <c r="V41" s="806"/>
      <c r="W41" s="806"/>
      <c r="X41" s="1156">
        <f t="shared" si="0"/>
        <v>0</v>
      </c>
      <c r="Y41" s="1160"/>
    </row>
    <row r="42" spans="1:25" s="238" customFormat="1">
      <c r="A42" s="1379" t="s">
        <v>987</v>
      </c>
      <c r="B42" s="490"/>
      <c r="C42" s="490"/>
      <c r="D42" s="1388"/>
      <c r="E42" s="1332">
        <v>16344</v>
      </c>
      <c r="F42" s="1332"/>
      <c r="G42" s="492">
        <f>SUM(D42:F42)</f>
        <v>16344</v>
      </c>
      <c r="I42" s="792" t="s">
        <v>773</v>
      </c>
      <c r="J42" s="436"/>
      <c r="K42" s="436"/>
      <c r="L42" s="807">
        <v>15</v>
      </c>
      <c r="M42" s="808"/>
      <c r="N42" s="808"/>
      <c r="O42" s="809">
        <f>+L42+M42+N42</f>
        <v>15</v>
      </c>
      <c r="Q42" s="792" t="s">
        <v>773</v>
      </c>
      <c r="R42" s="436"/>
      <c r="S42" s="436"/>
      <c r="T42" s="807">
        <v>15</v>
      </c>
      <c r="U42" s="808"/>
      <c r="V42" s="808"/>
      <c r="W42" s="809">
        <f>+T42+U42+V42</f>
        <v>15</v>
      </c>
      <c r="X42" s="1156">
        <f t="shared" si="0"/>
        <v>0</v>
      </c>
      <c r="Y42" s="1160"/>
    </row>
    <row r="43" spans="1:25" s="238" customFormat="1" ht="16" thickBot="1">
      <c r="A43" s="1379" t="s">
        <v>985</v>
      </c>
      <c r="B43" s="490"/>
      <c r="C43" s="490"/>
      <c r="D43" s="1388"/>
      <c r="E43" s="1332"/>
      <c r="F43" s="1332"/>
      <c r="G43" s="492"/>
      <c r="I43" s="791" t="s">
        <v>626</v>
      </c>
      <c r="J43" s="438"/>
      <c r="K43" s="438"/>
      <c r="L43" s="810">
        <f>+L40-L42</f>
        <v>3709.9979999999996</v>
      </c>
      <c r="M43" s="811">
        <f>+M40-M42</f>
        <v>0</v>
      </c>
      <c r="N43" s="811">
        <f>+N40-N42</f>
        <v>-881.25</v>
      </c>
      <c r="O43" s="812">
        <f>+O40-O42</f>
        <v>2828.7479999999996</v>
      </c>
      <c r="Q43" s="791" t="s">
        <v>626</v>
      </c>
      <c r="R43" s="438"/>
      <c r="S43" s="438"/>
      <c r="T43" s="810">
        <f>T40+T42</f>
        <v>4652.4979999999996</v>
      </c>
      <c r="U43" s="811">
        <f>U40+U42</f>
        <v>0</v>
      </c>
      <c r="V43" s="811">
        <f>V40+V42</f>
        <v>-1825</v>
      </c>
      <c r="W43" s="812">
        <f>W40+W42</f>
        <v>2827.4980000000014</v>
      </c>
      <c r="X43" s="1156">
        <f t="shared" si="0"/>
        <v>-1.249999999998181</v>
      </c>
      <c r="Y43" s="1160"/>
    </row>
    <row r="44" spans="1:25">
      <c r="A44" s="489"/>
      <c r="B44" s="490"/>
      <c r="C44" s="489" t="s">
        <v>905</v>
      </c>
      <c r="D44" s="1388"/>
      <c r="E44" s="1332">
        <v>-5082</v>
      </c>
      <c r="F44" s="1332"/>
      <c r="G44" s="492">
        <f t="shared" ref="G44:G48" si="1">SUM(D44:F44)</f>
        <v>-5082</v>
      </c>
    </row>
    <row r="45" spans="1:25">
      <c r="A45" s="489"/>
      <c r="B45" s="490"/>
      <c r="C45" s="489" t="s">
        <v>906</v>
      </c>
      <c r="D45" s="1388"/>
      <c r="E45" s="1332">
        <v>-6847.72</v>
      </c>
      <c r="F45" s="1332"/>
      <c r="G45" s="492">
        <f t="shared" si="1"/>
        <v>-6847.72</v>
      </c>
    </row>
    <row r="46" spans="1:25">
      <c r="A46" s="489"/>
      <c r="B46" s="490"/>
      <c r="C46" s="489" t="s">
        <v>908</v>
      </c>
      <c r="D46" s="1388"/>
      <c r="E46" s="1332">
        <v>-3169.39</v>
      </c>
      <c r="F46" s="1332"/>
      <c r="G46" s="492">
        <f t="shared" si="1"/>
        <v>-3169.39</v>
      </c>
    </row>
    <row r="47" spans="1:25">
      <c r="A47" s="1379" t="s">
        <v>986</v>
      </c>
      <c r="B47" s="490"/>
      <c r="C47" s="490"/>
      <c r="D47" s="1388"/>
      <c r="E47" s="1332"/>
      <c r="F47" s="1332"/>
      <c r="G47" s="492"/>
    </row>
    <row r="48" spans="1:25">
      <c r="A48" s="1478" t="s">
        <v>1013</v>
      </c>
      <c r="B48" s="490"/>
      <c r="C48" s="490"/>
      <c r="D48" s="1388">
        <f>D34+D36</f>
        <v>4835.3539999999966</v>
      </c>
      <c r="E48" s="1332"/>
      <c r="F48" s="1332">
        <f>F34+F36</f>
        <v>-26973.24</v>
      </c>
      <c r="G48" s="492">
        <f t="shared" si="1"/>
        <v>-22137.886000000006</v>
      </c>
    </row>
    <row r="49" spans="1:7" ht="14.5" customHeight="1">
      <c r="A49" s="1378"/>
      <c r="B49" s="490"/>
      <c r="C49" s="490"/>
      <c r="D49" s="1388"/>
      <c r="E49" s="1332"/>
      <c r="F49" s="1332"/>
      <c r="G49" s="492"/>
    </row>
    <row r="50" spans="1:7" ht="14.5" customHeight="1" thickBot="1">
      <c r="A50" s="791" t="s">
        <v>626</v>
      </c>
      <c r="B50" s="438"/>
      <c r="C50" s="438"/>
      <c r="D50" s="558">
        <f>SUM(D40:D49)</f>
        <v>7479.5179999999964</v>
      </c>
      <c r="E50" s="1472">
        <f t="shared" ref="E50:G50" si="2">SUM(E40:E49)</f>
        <v>-3.9999999985411705E-3</v>
      </c>
      <c r="F50" s="1472">
        <f t="shared" si="2"/>
        <v>0</v>
      </c>
      <c r="G50" s="1473">
        <f t="shared" si="2"/>
        <v>7479.5139999999956</v>
      </c>
    </row>
  </sheetData>
  <mergeCells count="3">
    <mergeCell ref="I1:N1"/>
    <mergeCell ref="Q1:V1"/>
    <mergeCell ref="A1:F1"/>
  </mergeCells>
  <pageMargins left="0.11811023622047245" right="0.11811023622047245" top="0.15748031496062992" bottom="0.15748031496062992" header="0.31496062992125984" footer="0.31496062992125984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V70"/>
  <sheetViews>
    <sheetView zoomScale="95" zoomScaleNormal="95" workbookViewId="0">
      <pane ySplit="2" topLeftCell="A3" activePane="bottomLeft" state="frozen"/>
      <selection pane="bottomLeft" activeCell="C30" sqref="C30"/>
    </sheetView>
  </sheetViews>
  <sheetFormatPr baseColWidth="10" defaultColWidth="10.08203125" defaultRowHeight="12.5"/>
  <cols>
    <col min="1" max="1" width="5.58203125" style="33" customWidth="1"/>
    <col min="2" max="2" width="28.08203125" style="33" customWidth="1"/>
    <col min="3" max="3" width="9.83203125" style="33" customWidth="1"/>
    <col min="4" max="4" width="10.5" style="1176" customWidth="1"/>
    <col min="5" max="5" width="1.75" style="33" customWidth="1"/>
    <col min="6" max="6" width="4.58203125" style="33" customWidth="1"/>
    <col min="7" max="7" width="30" style="33" customWidth="1"/>
    <col min="8" max="8" width="10.5" style="33" customWidth="1"/>
    <col min="9" max="9" width="10.5" style="1176" customWidth="1"/>
    <col min="10" max="10" width="1.33203125" style="105" customWidth="1"/>
    <col min="11" max="11" width="19.9140625" style="33" customWidth="1"/>
    <col min="12" max="12" width="6.9140625" style="33" customWidth="1"/>
    <col min="13" max="13" width="10.6640625" style="33" customWidth="1"/>
    <col min="14" max="14" width="10.1640625" style="33" customWidth="1"/>
    <col min="15" max="15" width="7.9140625" style="33" customWidth="1"/>
    <col min="16" max="249" width="10.08203125" style="33"/>
    <col min="250" max="250" width="3.33203125" style="33" customWidth="1"/>
    <col min="251" max="251" width="10.08203125" style="33" customWidth="1"/>
    <col min="252" max="252" width="31.5" style="33" customWidth="1"/>
    <col min="253" max="253" width="0" style="33" hidden="1" customWidth="1"/>
    <col min="254" max="254" width="7.6640625" style="33" customWidth="1"/>
    <col min="255" max="255" width="0.33203125" style="33" customWidth="1"/>
    <col min="256" max="256" width="4.58203125" style="33" customWidth="1"/>
    <col min="257" max="257" width="30.58203125" style="33" customWidth="1"/>
    <col min="258" max="258" width="4.58203125" style="33" customWidth="1"/>
    <col min="259" max="259" width="4.08203125" style="33" customWidth="1"/>
    <col min="260" max="260" width="6.4140625" style="33" customWidth="1"/>
    <col min="261" max="505" width="10.08203125" style="33"/>
    <col min="506" max="506" width="3.33203125" style="33" customWidth="1"/>
    <col min="507" max="507" width="10.08203125" style="33" customWidth="1"/>
    <col min="508" max="508" width="31.5" style="33" customWidth="1"/>
    <col min="509" max="509" width="0" style="33" hidden="1" customWidth="1"/>
    <col min="510" max="510" width="7.6640625" style="33" customWidth="1"/>
    <col min="511" max="511" width="0.33203125" style="33" customWidth="1"/>
    <col min="512" max="512" width="4.58203125" style="33" customWidth="1"/>
    <col min="513" max="513" width="30.58203125" style="33" customWidth="1"/>
    <col min="514" max="514" width="4.58203125" style="33" customWidth="1"/>
    <col min="515" max="515" width="4.08203125" style="33" customWidth="1"/>
    <col min="516" max="516" width="6.4140625" style="33" customWidth="1"/>
    <col min="517" max="761" width="10.08203125" style="33"/>
    <col min="762" max="762" width="3.33203125" style="33" customWidth="1"/>
    <col min="763" max="763" width="10.08203125" style="33" customWidth="1"/>
    <col min="764" max="764" width="31.5" style="33" customWidth="1"/>
    <col min="765" max="765" width="0" style="33" hidden="1" customWidth="1"/>
    <col min="766" max="766" width="7.6640625" style="33" customWidth="1"/>
    <col min="767" max="767" width="0.33203125" style="33" customWidth="1"/>
    <col min="768" max="768" width="4.58203125" style="33" customWidth="1"/>
    <col min="769" max="769" width="30.58203125" style="33" customWidth="1"/>
    <col min="770" max="770" width="4.58203125" style="33" customWidth="1"/>
    <col min="771" max="771" width="4.08203125" style="33" customWidth="1"/>
    <col min="772" max="772" width="6.4140625" style="33" customWidth="1"/>
    <col min="773" max="1017" width="10.08203125" style="33"/>
    <col min="1018" max="1018" width="3.33203125" style="33" customWidth="1"/>
    <col min="1019" max="1019" width="10.08203125" style="33" customWidth="1"/>
    <col min="1020" max="1020" width="31.5" style="33" customWidth="1"/>
    <col min="1021" max="1021" width="0" style="33" hidden="1" customWidth="1"/>
    <col min="1022" max="1022" width="7.6640625" style="33" customWidth="1"/>
    <col min="1023" max="1023" width="0.33203125" style="33" customWidth="1"/>
    <col min="1024" max="1024" width="4.58203125" style="33" customWidth="1"/>
    <col min="1025" max="1025" width="30.58203125" style="33" customWidth="1"/>
    <col min="1026" max="1026" width="4.58203125" style="33" customWidth="1"/>
    <col min="1027" max="1027" width="4.08203125" style="33" customWidth="1"/>
    <col min="1028" max="1028" width="6.4140625" style="33" customWidth="1"/>
    <col min="1029" max="1273" width="10.08203125" style="33"/>
    <col min="1274" max="1274" width="3.33203125" style="33" customWidth="1"/>
    <col min="1275" max="1275" width="10.08203125" style="33" customWidth="1"/>
    <col min="1276" max="1276" width="31.5" style="33" customWidth="1"/>
    <col min="1277" max="1277" width="0" style="33" hidden="1" customWidth="1"/>
    <col min="1278" max="1278" width="7.6640625" style="33" customWidth="1"/>
    <col min="1279" max="1279" width="0.33203125" style="33" customWidth="1"/>
    <col min="1280" max="1280" width="4.58203125" style="33" customWidth="1"/>
    <col min="1281" max="1281" width="30.58203125" style="33" customWidth="1"/>
    <col min="1282" max="1282" width="4.58203125" style="33" customWidth="1"/>
    <col min="1283" max="1283" width="4.08203125" style="33" customWidth="1"/>
    <col min="1284" max="1284" width="6.4140625" style="33" customWidth="1"/>
    <col min="1285" max="1529" width="10.08203125" style="33"/>
    <col min="1530" max="1530" width="3.33203125" style="33" customWidth="1"/>
    <col min="1531" max="1531" width="10.08203125" style="33" customWidth="1"/>
    <col min="1532" max="1532" width="31.5" style="33" customWidth="1"/>
    <col min="1533" max="1533" width="0" style="33" hidden="1" customWidth="1"/>
    <col min="1534" max="1534" width="7.6640625" style="33" customWidth="1"/>
    <col min="1535" max="1535" width="0.33203125" style="33" customWidth="1"/>
    <col min="1536" max="1536" width="4.58203125" style="33" customWidth="1"/>
    <col min="1537" max="1537" width="30.58203125" style="33" customWidth="1"/>
    <col min="1538" max="1538" width="4.58203125" style="33" customWidth="1"/>
    <col min="1539" max="1539" width="4.08203125" style="33" customWidth="1"/>
    <col min="1540" max="1540" width="6.4140625" style="33" customWidth="1"/>
    <col min="1541" max="1785" width="10.08203125" style="33"/>
    <col min="1786" max="1786" width="3.33203125" style="33" customWidth="1"/>
    <col min="1787" max="1787" width="10.08203125" style="33" customWidth="1"/>
    <col min="1788" max="1788" width="31.5" style="33" customWidth="1"/>
    <col min="1789" max="1789" width="0" style="33" hidden="1" customWidth="1"/>
    <col min="1790" max="1790" width="7.6640625" style="33" customWidth="1"/>
    <col min="1791" max="1791" width="0.33203125" style="33" customWidth="1"/>
    <col min="1792" max="1792" width="4.58203125" style="33" customWidth="1"/>
    <col min="1793" max="1793" width="30.58203125" style="33" customWidth="1"/>
    <col min="1794" max="1794" width="4.58203125" style="33" customWidth="1"/>
    <col min="1795" max="1795" width="4.08203125" style="33" customWidth="1"/>
    <col min="1796" max="1796" width="6.4140625" style="33" customWidth="1"/>
    <col min="1797" max="2041" width="10.08203125" style="33"/>
    <col min="2042" max="2042" width="3.33203125" style="33" customWidth="1"/>
    <col min="2043" max="2043" width="10.08203125" style="33" customWidth="1"/>
    <col min="2044" max="2044" width="31.5" style="33" customWidth="1"/>
    <col min="2045" max="2045" width="0" style="33" hidden="1" customWidth="1"/>
    <col min="2046" max="2046" width="7.6640625" style="33" customWidth="1"/>
    <col min="2047" max="2047" width="0.33203125" style="33" customWidth="1"/>
    <col min="2048" max="2048" width="4.58203125" style="33" customWidth="1"/>
    <col min="2049" max="2049" width="30.58203125" style="33" customWidth="1"/>
    <col min="2050" max="2050" width="4.58203125" style="33" customWidth="1"/>
    <col min="2051" max="2051" width="4.08203125" style="33" customWidth="1"/>
    <col min="2052" max="2052" width="6.4140625" style="33" customWidth="1"/>
    <col min="2053" max="2297" width="10.08203125" style="33"/>
    <col min="2298" max="2298" width="3.33203125" style="33" customWidth="1"/>
    <col min="2299" max="2299" width="10.08203125" style="33" customWidth="1"/>
    <col min="2300" max="2300" width="31.5" style="33" customWidth="1"/>
    <col min="2301" max="2301" width="0" style="33" hidden="1" customWidth="1"/>
    <col min="2302" max="2302" width="7.6640625" style="33" customWidth="1"/>
    <col min="2303" max="2303" width="0.33203125" style="33" customWidth="1"/>
    <col min="2304" max="2304" width="4.58203125" style="33" customWidth="1"/>
    <col min="2305" max="2305" width="30.58203125" style="33" customWidth="1"/>
    <col min="2306" max="2306" width="4.58203125" style="33" customWidth="1"/>
    <col min="2307" max="2307" width="4.08203125" style="33" customWidth="1"/>
    <col min="2308" max="2308" width="6.4140625" style="33" customWidth="1"/>
    <col min="2309" max="2553" width="10.08203125" style="33"/>
    <col min="2554" max="2554" width="3.33203125" style="33" customWidth="1"/>
    <col min="2555" max="2555" width="10.08203125" style="33" customWidth="1"/>
    <col min="2556" max="2556" width="31.5" style="33" customWidth="1"/>
    <col min="2557" max="2557" width="0" style="33" hidden="1" customWidth="1"/>
    <col min="2558" max="2558" width="7.6640625" style="33" customWidth="1"/>
    <col min="2559" max="2559" width="0.33203125" style="33" customWidth="1"/>
    <col min="2560" max="2560" width="4.58203125" style="33" customWidth="1"/>
    <col min="2561" max="2561" width="30.58203125" style="33" customWidth="1"/>
    <col min="2562" max="2562" width="4.58203125" style="33" customWidth="1"/>
    <col min="2563" max="2563" width="4.08203125" style="33" customWidth="1"/>
    <col min="2564" max="2564" width="6.4140625" style="33" customWidth="1"/>
    <col min="2565" max="2809" width="10.08203125" style="33"/>
    <col min="2810" max="2810" width="3.33203125" style="33" customWidth="1"/>
    <col min="2811" max="2811" width="10.08203125" style="33" customWidth="1"/>
    <col min="2812" max="2812" width="31.5" style="33" customWidth="1"/>
    <col min="2813" max="2813" width="0" style="33" hidden="1" customWidth="1"/>
    <col min="2814" max="2814" width="7.6640625" style="33" customWidth="1"/>
    <col min="2815" max="2815" width="0.33203125" style="33" customWidth="1"/>
    <col min="2816" max="2816" width="4.58203125" style="33" customWidth="1"/>
    <col min="2817" max="2817" width="30.58203125" style="33" customWidth="1"/>
    <col min="2818" max="2818" width="4.58203125" style="33" customWidth="1"/>
    <col min="2819" max="2819" width="4.08203125" style="33" customWidth="1"/>
    <col min="2820" max="2820" width="6.4140625" style="33" customWidth="1"/>
    <col min="2821" max="3065" width="10.08203125" style="33"/>
    <col min="3066" max="3066" width="3.33203125" style="33" customWidth="1"/>
    <col min="3067" max="3067" width="10.08203125" style="33" customWidth="1"/>
    <col min="3068" max="3068" width="31.5" style="33" customWidth="1"/>
    <col min="3069" max="3069" width="0" style="33" hidden="1" customWidth="1"/>
    <col min="3070" max="3070" width="7.6640625" style="33" customWidth="1"/>
    <col min="3071" max="3071" width="0.33203125" style="33" customWidth="1"/>
    <col min="3072" max="3072" width="4.58203125" style="33" customWidth="1"/>
    <col min="3073" max="3073" width="30.58203125" style="33" customWidth="1"/>
    <col min="3074" max="3074" width="4.58203125" style="33" customWidth="1"/>
    <col min="3075" max="3075" width="4.08203125" style="33" customWidth="1"/>
    <col min="3076" max="3076" width="6.4140625" style="33" customWidth="1"/>
    <col min="3077" max="3321" width="10.08203125" style="33"/>
    <col min="3322" max="3322" width="3.33203125" style="33" customWidth="1"/>
    <col min="3323" max="3323" width="10.08203125" style="33" customWidth="1"/>
    <col min="3324" max="3324" width="31.5" style="33" customWidth="1"/>
    <col min="3325" max="3325" width="0" style="33" hidden="1" customWidth="1"/>
    <col min="3326" max="3326" width="7.6640625" style="33" customWidth="1"/>
    <col min="3327" max="3327" width="0.33203125" style="33" customWidth="1"/>
    <col min="3328" max="3328" width="4.58203125" style="33" customWidth="1"/>
    <col min="3329" max="3329" width="30.58203125" style="33" customWidth="1"/>
    <col min="3330" max="3330" width="4.58203125" style="33" customWidth="1"/>
    <col min="3331" max="3331" width="4.08203125" style="33" customWidth="1"/>
    <col min="3332" max="3332" width="6.4140625" style="33" customWidth="1"/>
    <col min="3333" max="3577" width="10.08203125" style="33"/>
    <col min="3578" max="3578" width="3.33203125" style="33" customWidth="1"/>
    <col min="3579" max="3579" width="10.08203125" style="33" customWidth="1"/>
    <col min="3580" max="3580" width="31.5" style="33" customWidth="1"/>
    <col min="3581" max="3581" width="0" style="33" hidden="1" customWidth="1"/>
    <col min="3582" max="3582" width="7.6640625" style="33" customWidth="1"/>
    <col min="3583" max="3583" width="0.33203125" style="33" customWidth="1"/>
    <col min="3584" max="3584" width="4.58203125" style="33" customWidth="1"/>
    <col min="3585" max="3585" width="30.58203125" style="33" customWidth="1"/>
    <col min="3586" max="3586" width="4.58203125" style="33" customWidth="1"/>
    <col min="3587" max="3587" width="4.08203125" style="33" customWidth="1"/>
    <col min="3588" max="3588" width="6.4140625" style="33" customWidth="1"/>
    <col min="3589" max="3833" width="10.08203125" style="33"/>
    <col min="3834" max="3834" width="3.33203125" style="33" customWidth="1"/>
    <col min="3835" max="3835" width="10.08203125" style="33" customWidth="1"/>
    <col min="3836" max="3836" width="31.5" style="33" customWidth="1"/>
    <col min="3837" max="3837" width="0" style="33" hidden="1" customWidth="1"/>
    <col min="3838" max="3838" width="7.6640625" style="33" customWidth="1"/>
    <col min="3839" max="3839" width="0.33203125" style="33" customWidth="1"/>
    <col min="3840" max="3840" width="4.58203125" style="33" customWidth="1"/>
    <col min="3841" max="3841" width="30.58203125" style="33" customWidth="1"/>
    <col min="3842" max="3842" width="4.58203125" style="33" customWidth="1"/>
    <col min="3843" max="3843" width="4.08203125" style="33" customWidth="1"/>
    <col min="3844" max="3844" width="6.4140625" style="33" customWidth="1"/>
    <col min="3845" max="4089" width="10.08203125" style="33"/>
    <col min="4090" max="4090" width="3.33203125" style="33" customWidth="1"/>
    <col min="4091" max="4091" width="10.08203125" style="33" customWidth="1"/>
    <col min="4092" max="4092" width="31.5" style="33" customWidth="1"/>
    <col min="4093" max="4093" width="0" style="33" hidden="1" customWidth="1"/>
    <col min="4094" max="4094" width="7.6640625" style="33" customWidth="1"/>
    <col min="4095" max="4095" width="0.33203125" style="33" customWidth="1"/>
    <col min="4096" max="4096" width="4.58203125" style="33" customWidth="1"/>
    <col min="4097" max="4097" width="30.58203125" style="33" customWidth="1"/>
    <col min="4098" max="4098" width="4.58203125" style="33" customWidth="1"/>
    <col min="4099" max="4099" width="4.08203125" style="33" customWidth="1"/>
    <col min="4100" max="4100" width="6.4140625" style="33" customWidth="1"/>
    <col min="4101" max="4345" width="10.08203125" style="33"/>
    <col min="4346" max="4346" width="3.33203125" style="33" customWidth="1"/>
    <col min="4347" max="4347" width="10.08203125" style="33" customWidth="1"/>
    <col min="4348" max="4348" width="31.5" style="33" customWidth="1"/>
    <col min="4349" max="4349" width="0" style="33" hidden="1" customWidth="1"/>
    <col min="4350" max="4350" width="7.6640625" style="33" customWidth="1"/>
    <col min="4351" max="4351" width="0.33203125" style="33" customWidth="1"/>
    <col min="4352" max="4352" width="4.58203125" style="33" customWidth="1"/>
    <col min="4353" max="4353" width="30.58203125" style="33" customWidth="1"/>
    <col min="4354" max="4354" width="4.58203125" style="33" customWidth="1"/>
    <col min="4355" max="4355" width="4.08203125" style="33" customWidth="1"/>
    <col min="4356" max="4356" width="6.4140625" style="33" customWidth="1"/>
    <col min="4357" max="4601" width="10.08203125" style="33"/>
    <col min="4602" max="4602" width="3.33203125" style="33" customWidth="1"/>
    <col min="4603" max="4603" width="10.08203125" style="33" customWidth="1"/>
    <col min="4604" max="4604" width="31.5" style="33" customWidth="1"/>
    <col min="4605" max="4605" width="0" style="33" hidden="1" customWidth="1"/>
    <col min="4606" max="4606" width="7.6640625" style="33" customWidth="1"/>
    <col min="4607" max="4607" width="0.33203125" style="33" customWidth="1"/>
    <col min="4608" max="4608" width="4.58203125" style="33" customWidth="1"/>
    <col min="4609" max="4609" width="30.58203125" style="33" customWidth="1"/>
    <col min="4610" max="4610" width="4.58203125" style="33" customWidth="1"/>
    <col min="4611" max="4611" width="4.08203125" style="33" customWidth="1"/>
    <col min="4612" max="4612" width="6.4140625" style="33" customWidth="1"/>
    <col min="4613" max="4857" width="10.08203125" style="33"/>
    <col min="4858" max="4858" width="3.33203125" style="33" customWidth="1"/>
    <col min="4859" max="4859" width="10.08203125" style="33" customWidth="1"/>
    <col min="4860" max="4860" width="31.5" style="33" customWidth="1"/>
    <col min="4861" max="4861" width="0" style="33" hidden="1" customWidth="1"/>
    <col min="4862" max="4862" width="7.6640625" style="33" customWidth="1"/>
    <col min="4863" max="4863" width="0.33203125" style="33" customWidth="1"/>
    <col min="4864" max="4864" width="4.58203125" style="33" customWidth="1"/>
    <col min="4865" max="4865" width="30.58203125" style="33" customWidth="1"/>
    <col min="4866" max="4866" width="4.58203125" style="33" customWidth="1"/>
    <col min="4867" max="4867" width="4.08203125" style="33" customWidth="1"/>
    <col min="4868" max="4868" width="6.4140625" style="33" customWidth="1"/>
    <col min="4869" max="5113" width="10.08203125" style="33"/>
    <col min="5114" max="5114" width="3.33203125" style="33" customWidth="1"/>
    <col min="5115" max="5115" width="10.08203125" style="33" customWidth="1"/>
    <col min="5116" max="5116" width="31.5" style="33" customWidth="1"/>
    <col min="5117" max="5117" width="0" style="33" hidden="1" customWidth="1"/>
    <col min="5118" max="5118" width="7.6640625" style="33" customWidth="1"/>
    <col min="5119" max="5119" width="0.33203125" style="33" customWidth="1"/>
    <col min="5120" max="5120" width="4.58203125" style="33" customWidth="1"/>
    <col min="5121" max="5121" width="30.58203125" style="33" customWidth="1"/>
    <col min="5122" max="5122" width="4.58203125" style="33" customWidth="1"/>
    <col min="5123" max="5123" width="4.08203125" style="33" customWidth="1"/>
    <col min="5124" max="5124" width="6.4140625" style="33" customWidth="1"/>
    <col min="5125" max="5369" width="10.08203125" style="33"/>
    <col min="5370" max="5370" width="3.33203125" style="33" customWidth="1"/>
    <col min="5371" max="5371" width="10.08203125" style="33" customWidth="1"/>
    <col min="5372" max="5372" width="31.5" style="33" customWidth="1"/>
    <col min="5373" max="5373" width="0" style="33" hidden="1" customWidth="1"/>
    <col min="5374" max="5374" width="7.6640625" style="33" customWidth="1"/>
    <col min="5375" max="5375" width="0.33203125" style="33" customWidth="1"/>
    <col min="5376" max="5376" width="4.58203125" style="33" customWidth="1"/>
    <col min="5377" max="5377" width="30.58203125" style="33" customWidth="1"/>
    <col min="5378" max="5378" width="4.58203125" style="33" customWidth="1"/>
    <col min="5379" max="5379" width="4.08203125" style="33" customWidth="1"/>
    <col min="5380" max="5380" width="6.4140625" style="33" customWidth="1"/>
    <col min="5381" max="5625" width="10.08203125" style="33"/>
    <col min="5626" max="5626" width="3.33203125" style="33" customWidth="1"/>
    <col min="5627" max="5627" width="10.08203125" style="33" customWidth="1"/>
    <col min="5628" max="5628" width="31.5" style="33" customWidth="1"/>
    <col min="5629" max="5629" width="0" style="33" hidden="1" customWidth="1"/>
    <col min="5630" max="5630" width="7.6640625" style="33" customWidth="1"/>
    <col min="5631" max="5631" width="0.33203125" style="33" customWidth="1"/>
    <col min="5632" max="5632" width="4.58203125" style="33" customWidth="1"/>
    <col min="5633" max="5633" width="30.58203125" style="33" customWidth="1"/>
    <col min="5634" max="5634" width="4.58203125" style="33" customWidth="1"/>
    <col min="5635" max="5635" width="4.08203125" style="33" customWidth="1"/>
    <col min="5636" max="5636" width="6.4140625" style="33" customWidth="1"/>
    <col min="5637" max="5881" width="10.08203125" style="33"/>
    <col min="5882" max="5882" width="3.33203125" style="33" customWidth="1"/>
    <col min="5883" max="5883" width="10.08203125" style="33" customWidth="1"/>
    <col min="5884" max="5884" width="31.5" style="33" customWidth="1"/>
    <col min="5885" max="5885" width="0" style="33" hidden="1" customWidth="1"/>
    <col min="5886" max="5886" width="7.6640625" style="33" customWidth="1"/>
    <col min="5887" max="5887" width="0.33203125" style="33" customWidth="1"/>
    <col min="5888" max="5888" width="4.58203125" style="33" customWidth="1"/>
    <col min="5889" max="5889" width="30.58203125" style="33" customWidth="1"/>
    <col min="5890" max="5890" width="4.58203125" style="33" customWidth="1"/>
    <col min="5891" max="5891" width="4.08203125" style="33" customWidth="1"/>
    <col min="5892" max="5892" width="6.4140625" style="33" customWidth="1"/>
    <col min="5893" max="6137" width="10.08203125" style="33"/>
    <col min="6138" max="6138" width="3.33203125" style="33" customWidth="1"/>
    <col min="6139" max="6139" width="10.08203125" style="33" customWidth="1"/>
    <col min="6140" max="6140" width="31.5" style="33" customWidth="1"/>
    <col min="6141" max="6141" width="0" style="33" hidden="1" customWidth="1"/>
    <col min="6142" max="6142" width="7.6640625" style="33" customWidth="1"/>
    <col min="6143" max="6143" width="0.33203125" style="33" customWidth="1"/>
    <col min="6144" max="6144" width="4.58203125" style="33" customWidth="1"/>
    <col min="6145" max="6145" width="30.58203125" style="33" customWidth="1"/>
    <col min="6146" max="6146" width="4.58203125" style="33" customWidth="1"/>
    <col min="6147" max="6147" width="4.08203125" style="33" customWidth="1"/>
    <col min="6148" max="6148" width="6.4140625" style="33" customWidth="1"/>
    <col min="6149" max="6393" width="10.08203125" style="33"/>
    <col min="6394" max="6394" width="3.33203125" style="33" customWidth="1"/>
    <col min="6395" max="6395" width="10.08203125" style="33" customWidth="1"/>
    <col min="6396" max="6396" width="31.5" style="33" customWidth="1"/>
    <col min="6397" max="6397" width="0" style="33" hidden="1" customWidth="1"/>
    <col min="6398" max="6398" width="7.6640625" style="33" customWidth="1"/>
    <col min="6399" max="6399" width="0.33203125" style="33" customWidth="1"/>
    <col min="6400" max="6400" width="4.58203125" style="33" customWidth="1"/>
    <col min="6401" max="6401" width="30.58203125" style="33" customWidth="1"/>
    <col min="6402" max="6402" width="4.58203125" style="33" customWidth="1"/>
    <col min="6403" max="6403" width="4.08203125" style="33" customWidth="1"/>
    <col min="6404" max="6404" width="6.4140625" style="33" customWidth="1"/>
    <col min="6405" max="6649" width="10.08203125" style="33"/>
    <col min="6650" max="6650" width="3.33203125" style="33" customWidth="1"/>
    <col min="6651" max="6651" width="10.08203125" style="33" customWidth="1"/>
    <col min="6652" max="6652" width="31.5" style="33" customWidth="1"/>
    <col min="6653" max="6653" width="0" style="33" hidden="1" customWidth="1"/>
    <col min="6654" max="6654" width="7.6640625" style="33" customWidth="1"/>
    <col min="6655" max="6655" width="0.33203125" style="33" customWidth="1"/>
    <col min="6656" max="6656" width="4.58203125" style="33" customWidth="1"/>
    <col min="6657" max="6657" width="30.58203125" style="33" customWidth="1"/>
    <col min="6658" max="6658" width="4.58203125" style="33" customWidth="1"/>
    <col min="6659" max="6659" width="4.08203125" style="33" customWidth="1"/>
    <col min="6660" max="6660" width="6.4140625" style="33" customWidth="1"/>
    <col min="6661" max="6905" width="10.08203125" style="33"/>
    <col min="6906" max="6906" width="3.33203125" style="33" customWidth="1"/>
    <col min="6907" max="6907" width="10.08203125" style="33" customWidth="1"/>
    <col min="6908" max="6908" width="31.5" style="33" customWidth="1"/>
    <col min="6909" max="6909" width="0" style="33" hidden="1" customWidth="1"/>
    <col min="6910" max="6910" width="7.6640625" style="33" customWidth="1"/>
    <col min="6911" max="6911" width="0.33203125" style="33" customWidth="1"/>
    <col min="6912" max="6912" width="4.58203125" style="33" customWidth="1"/>
    <col min="6913" max="6913" width="30.58203125" style="33" customWidth="1"/>
    <col min="6914" max="6914" width="4.58203125" style="33" customWidth="1"/>
    <col min="6915" max="6915" width="4.08203125" style="33" customWidth="1"/>
    <col min="6916" max="6916" width="6.4140625" style="33" customWidth="1"/>
    <col min="6917" max="7161" width="10.08203125" style="33"/>
    <col min="7162" max="7162" width="3.33203125" style="33" customWidth="1"/>
    <col min="7163" max="7163" width="10.08203125" style="33" customWidth="1"/>
    <col min="7164" max="7164" width="31.5" style="33" customWidth="1"/>
    <col min="7165" max="7165" width="0" style="33" hidden="1" customWidth="1"/>
    <col min="7166" max="7166" width="7.6640625" style="33" customWidth="1"/>
    <col min="7167" max="7167" width="0.33203125" style="33" customWidth="1"/>
    <col min="7168" max="7168" width="4.58203125" style="33" customWidth="1"/>
    <col min="7169" max="7169" width="30.58203125" style="33" customWidth="1"/>
    <col min="7170" max="7170" width="4.58203125" style="33" customWidth="1"/>
    <col min="7171" max="7171" width="4.08203125" style="33" customWidth="1"/>
    <col min="7172" max="7172" width="6.4140625" style="33" customWidth="1"/>
    <col min="7173" max="7417" width="10.08203125" style="33"/>
    <col min="7418" max="7418" width="3.33203125" style="33" customWidth="1"/>
    <col min="7419" max="7419" width="10.08203125" style="33" customWidth="1"/>
    <col min="7420" max="7420" width="31.5" style="33" customWidth="1"/>
    <col min="7421" max="7421" width="0" style="33" hidden="1" customWidth="1"/>
    <col min="7422" max="7422" width="7.6640625" style="33" customWidth="1"/>
    <col min="7423" max="7423" width="0.33203125" style="33" customWidth="1"/>
    <col min="7424" max="7424" width="4.58203125" style="33" customWidth="1"/>
    <col min="7425" max="7425" width="30.58203125" style="33" customWidth="1"/>
    <col min="7426" max="7426" width="4.58203125" style="33" customWidth="1"/>
    <col min="7427" max="7427" width="4.08203125" style="33" customWidth="1"/>
    <col min="7428" max="7428" width="6.4140625" style="33" customWidth="1"/>
    <col min="7429" max="7673" width="10.08203125" style="33"/>
    <col min="7674" max="7674" width="3.33203125" style="33" customWidth="1"/>
    <col min="7675" max="7675" width="10.08203125" style="33" customWidth="1"/>
    <col min="7676" max="7676" width="31.5" style="33" customWidth="1"/>
    <col min="7677" max="7677" width="0" style="33" hidden="1" customWidth="1"/>
    <col min="7678" max="7678" width="7.6640625" style="33" customWidth="1"/>
    <col min="7679" max="7679" width="0.33203125" style="33" customWidth="1"/>
    <col min="7680" max="7680" width="4.58203125" style="33" customWidth="1"/>
    <col min="7681" max="7681" width="30.58203125" style="33" customWidth="1"/>
    <col min="7682" max="7682" width="4.58203125" style="33" customWidth="1"/>
    <col min="7683" max="7683" width="4.08203125" style="33" customWidth="1"/>
    <col min="7684" max="7684" width="6.4140625" style="33" customWidth="1"/>
    <col min="7685" max="7929" width="10.08203125" style="33"/>
    <col min="7930" max="7930" width="3.33203125" style="33" customWidth="1"/>
    <col min="7931" max="7931" width="10.08203125" style="33" customWidth="1"/>
    <col min="7932" max="7932" width="31.5" style="33" customWidth="1"/>
    <col min="7933" max="7933" width="0" style="33" hidden="1" customWidth="1"/>
    <col min="7934" max="7934" width="7.6640625" style="33" customWidth="1"/>
    <col min="7935" max="7935" width="0.33203125" style="33" customWidth="1"/>
    <col min="7936" max="7936" width="4.58203125" style="33" customWidth="1"/>
    <col min="7937" max="7937" width="30.58203125" style="33" customWidth="1"/>
    <col min="7938" max="7938" width="4.58203125" style="33" customWidth="1"/>
    <col min="7939" max="7939" width="4.08203125" style="33" customWidth="1"/>
    <col min="7940" max="7940" width="6.4140625" style="33" customWidth="1"/>
    <col min="7941" max="8185" width="10.08203125" style="33"/>
    <col min="8186" max="8186" width="3.33203125" style="33" customWidth="1"/>
    <col min="8187" max="8187" width="10.08203125" style="33" customWidth="1"/>
    <col min="8188" max="8188" width="31.5" style="33" customWidth="1"/>
    <col min="8189" max="8189" width="0" style="33" hidden="1" customWidth="1"/>
    <col min="8190" max="8190" width="7.6640625" style="33" customWidth="1"/>
    <col min="8191" max="8191" width="0.33203125" style="33" customWidth="1"/>
    <col min="8192" max="8192" width="4.58203125" style="33" customWidth="1"/>
    <col min="8193" max="8193" width="30.58203125" style="33" customWidth="1"/>
    <col min="8194" max="8194" width="4.58203125" style="33" customWidth="1"/>
    <col min="8195" max="8195" width="4.08203125" style="33" customWidth="1"/>
    <col min="8196" max="8196" width="6.4140625" style="33" customWidth="1"/>
    <col min="8197" max="8441" width="10.08203125" style="33"/>
    <col min="8442" max="8442" width="3.33203125" style="33" customWidth="1"/>
    <col min="8443" max="8443" width="10.08203125" style="33" customWidth="1"/>
    <col min="8444" max="8444" width="31.5" style="33" customWidth="1"/>
    <col min="8445" max="8445" width="0" style="33" hidden="1" customWidth="1"/>
    <col min="8446" max="8446" width="7.6640625" style="33" customWidth="1"/>
    <col min="8447" max="8447" width="0.33203125" style="33" customWidth="1"/>
    <col min="8448" max="8448" width="4.58203125" style="33" customWidth="1"/>
    <col min="8449" max="8449" width="30.58203125" style="33" customWidth="1"/>
    <col min="8450" max="8450" width="4.58203125" style="33" customWidth="1"/>
    <col min="8451" max="8451" width="4.08203125" style="33" customWidth="1"/>
    <col min="8452" max="8452" width="6.4140625" style="33" customWidth="1"/>
    <col min="8453" max="8697" width="10.08203125" style="33"/>
    <col min="8698" max="8698" width="3.33203125" style="33" customWidth="1"/>
    <col min="8699" max="8699" width="10.08203125" style="33" customWidth="1"/>
    <col min="8700" max="8700" width="31.5" style="33" customWidth="1"/>
    <col min="8701" max="8701" width="0" style="33" hidden="1" customWidth="1"/>
    <col min="8702" max="8702" width="7.6640625" style="33" customWidth="1"/>
    <col min="8703" max="8703" width="0.33203125" style="33" customWidth="1"/>
    <col min="8704" max="8704" width="4.58203125" style="33" customWidth="1"/>
    <col min="8705" max="8705" width="30.58203125" style="33" customWidth="1"/>
    <col min="8706" max="8706" width="4.58203125" style="33" customWidth="1"/>
    <col min="8707" max="8707" width="4.08203125" style="33" customWidth="1"/>
    <col min="8708" max="8708" width="6.4140625" style="33" customWidth="1"/>
    <col min="8709" max="8953" width="10.08203125" style="33"/>
    <col min="8954" max="8954" width="3.33203125" style="33" customWidth="1"/>
    <col min="8955" max="8955" width="10.08203125" style="33" customWidth="1"/>
    <col min="8956" max="8956" width="31.5" style="33" customWidth="1"/>
    <col min="8957" max="8957" width="0" style="33" hidden="1" customWidth="1"/>
    <col min="8958" max="8958" width="7.6640625" style="33" customWidth="1"/>
    <col min="8959" max="8959" width="0.33203125" style="33" customWidth="1"/>
    <col min="8960" max="8960" width="4.58203125" style="33" customWidth="1"/>
    <col min="8961" max="8961" width="30.58203125" style="33" customWidth="1"/>
    <col min="8962" max="8962" width="4.58203125" style="33" customWidth="1"/>
    <col min="8963" max="8963" width="4.08203125" style="33" customWidth="1"/>
    <col min="8964" max="8964" width="6.4140625" style="33" customWidth="1"/>
    <col min="8965" max="9209" width="10.08203125" style="33"/>
    <col min="9210" max="9210" width="3.33203125" style="33" customWidth="1"/>
    <col min="9211" max="9211" width="10.08203125" style="33" customWidth="1"/>
    <col min="9212" max="9212" width="31.5" style="33" customWidth="1"/>
    <col min="9213" max="9213" width="0" style="33" hidden="1" customWidth="1"/>
    <col min="9214" max="9214" width="7.6640625" style="33" customWidth="1"/>
    <col min="9215" max="9215" width="0.33203125" style="33" customWidth="1"/>
    <col min="9216" max="9216" width="4.58203125" style="33" customWidth="1"/>
    <col min="9217" max="9217" width="30.58203125" style="33" customWidth="1"/>
    <col min="9218" max="9218" width="4.58203125" style="33" customWidth="1"/>
    <col min="9219" max="9219" width="4.08203125" style="33" customWidth="1"/>
    <col min="9220" max="9220" width="6.4140625" style="33" customWidth="1"/>
    <col min="9221" max="9465" width="10.08203125" style="33"/>
    <col min="9466" max="9466" width="3.33203125" style="33" customWidth="1"/>
    <col min="9467" max="9467" width="10.08203125" style="33" customWidth="1"/>
    <col min="9468" max="9468" width="31.5" style="33" customWidth="1"/>
    <col min="9469" max="9469" width="0" style="33" hidden="1" customWidth="1"/>
    <col min="9470" max="9470" width="7.6640625" style="33" customWidth="1"/>
    <col min="9471" max="9471" width="0.33203125" style="33" customWidth="1"/>
    <col min="9472" max="9472" width="4.58203125" style="33" customWidth="1"/>
    <col min="9473" max="9473" width="30.58203125" style="33" customWidth="1"/>
    <col min="9474" max="9474" width="4.58203125" style="33" customWidth="1"/>
    <col min="9475" max="9475" width="4.08203125" style="33" customWidth="1"/>
    <col min="9476" max="9476" width="6.4140625" style="33" customWidth="1"/>
    <col min="9477" max="9721" width="10.08203125" style="33"/>
    <col min="9722" max="9722" width="3.33203125" style="33" customWidth="1"/>
    <col min="9723" max="9723" width="10.08203125" style="33" customWidth="1"/>
    <col min="9724" max="9724" width="31.5" style="33" customWidth="1"/>
    <col min="9725" max="9725" width="0" style="33" hidden="1" customWidth="1"/>
    <col min="9726" max="9726" width="7.6640625" style="33" customWidth="1"/>
    <col min="9727" max="9727" width="0.33203125" style="33" customWidth="1"/>
    <col min="9728" max="9728" width="4.58203125" style="33" customWidth="1"/>
    <col min="9729" max="9729" width="30.58203125" style="33" customWidth="1"/>
    <col min="9730" max="9730" width="4.58203125" style="33" customWidth="1"/>
    <col min="9731" max="9731" width="4.08203125" style="33" customWidth="1"/>
    <col min="9732" max="9732" width="6.4140625" style="33" customWidth="1"/>
    <col min="9733" max="9977" width="10.08203125" style="33"/>
    <col min="9978" max="9978" width="3.33203125" style="33" customWidth="1"/>
    <col min="9979" max="9979" width="10.08203125" style="33" customWidth="1"/>
    <col min="9980" max="9980" width="31.5" style="33" customWidth="1"/>
    <col min="9981" max="9981" width="0" style="33" hidden="1" customWidth="1"/>
    <col min="9982" max="9982" width="7.6640625" style="33" customWidth="1"/>
    <col min="9983" max="9983" width="0.33203125" style="33" customWidth="1"/>
    <col min="9984" max="9984" width="4.58203125" style="33" customWidth="1"/>
    <col min="9985" max="9985" width="30.58203125" style="33" customWidth="1"/>
    <col min="9986" max="9986" width="4.58203125" style="33" customWidth="1"/>
    <col min="9987" max="9987" width="4.08203125" style="33" customWidth="1"/>
    <col min="9988" max="9988" width="6.4140625" style="33" customWidth="1"/>
    <col min="9989" max="10233" width="10.08203125" style="33"/>
    <col min="10234" max="10234" width="3.33203125" style="33" customWidth="1"/>
    <col min="10235" max="10235" width="10.08203125" style="33" customWidth="1"/>
    <col min="10236" max="10236" width="31.5" style="33" customWidth="1"/>
    <col min="10237" max="10237" width="0" style="33" hidden="1" customWidth="1"/>
    <col min="10238" max="10238" width="7.6640625" style="33" customWidth="1"/>
    <col min="10239" max="10239" width="0.33203125" style="33" customWidth="1"/>
    <col min="10240" max="10240" width="4.58203125" style="33" customWidth="1"/>
    <col min="10241" max="10241" width="30.58203125" style="33" customWidth="1"/>
    <col min="10242" max="10242" width="4.58203125" style="33" customWidth="1"/>
    <col min="10243" max="10243" width="4.08203125" style="33" customWidth="1"/>
    <col min="10244" max="10244" width="6.4140625" style="33" customWidth="1"/>
    <col min="10245" max="10489" width="10.08203125" style="33"/>
    <col min="10490" max="10490" width="3.33203125" style="33" customWidth="1"/>
    <col min="10491" max="10491" width="10.08203125" style="33" customWidth="1"/>
    <col min="10492" max="10492" width="31.5" style="33" customWidth="1"/>
    <col min="10493" max="10493" width="0" style="33" hidden="1" customWidth="1"/>
    <col min="10494" max="10494" width="7.6640625" style="33" customWidth="1"/>
    <col min="10495" max="10495" width="0.33203125" style="33" customWidth="1"/>
    <col min="10496" max="10496" width="4.58203125" style="33" customWidth="1"/>
    <col min="10497" max="10497" width="30.58203125" style="33" customWidth="1"/>
    <col min="10498" max="10498" width="4.58203125" style="33" customWidth="1"/>
    <col min="10499" max="10499" width="4.08203125" style="33" customWidth="1"/>
    <col min="10500" max="10500" width="6.4140625" style="33" customWidth="1"/>
    <col min="10501" max="10745" width="10.08203125" style="33"/>
    <col min="10746" max="10746" width="3.33203125" style="33" customWidth="1"/>
    <col min="10747" max="10747" width="10.08203125" style="33" customWidth="1"/>
    <col min="10748" max="10748" width="31.5" style="33" customWidth="1"/>
    <col min="10749" max="10749" width="0" style="33" hidden="1" customWidth="1"/>
    <col min="10750" max="10750" width="7.6640625" style="33" customWidth="1"/>
    <col min="10751" max="10751" width="0.33203125" style="33" customWidth="1"/>
    <col min="10752" max="10752" width="4.58203125" style="33" customWidth="1"/>
    <col min="10753" max="10753" width="30.58203125" style="33" customWidth="1"/>
    <col min="10754" max="10754" width="4.58203125" style="33" customWidth="1"/>
    <col min="10755" max="10755" width="4.08203125" style="33" customWidth="1"/>
    <col min="10756" max="10756" width="6.4140625" style="33" customWidth="1"/>
    <col min="10757" max="11001" width="10.08203125" style="33"/>
    <col min="11002" max="11002" width="3.33203125" style="33" customWidth="1"/>
    <col min="11003" max="11003" width="10.08203125" style="33" customWidth="1"/>
    <col min="11004" max="11004" width="31.5" style="33" customWidth="1"/>
    <col min="11005" max="11005" width="0" style="33" hidden="1" customWidth="1"/>
    <col min="11006" max="11006" width="7.6640625" style="33" customWidth="1"/>
    <col min="11007" max="11007" width="0.33203125" style="33" customWidth="1"/>
    <col min="11008" max="11008" width="4.58203125" style="33" customWidth="1"/>
    <col min="11009" max="11009" width="30.58203125" style="33" customWidth="1"/>
    <col min="11010" max="11010" width="4.58203125" style="33" customWidth="1"/>
    <col min="11011" max="11011" width="4.08203125" style="33" customWidth="1"/>
    <col min="11012" max="11012" width="6.4140625" style="33" customWidth="1"/>
    <col min="11013" max="11257" width="10.08203125" style="33"/>
    <col min="11258" max="11258" width="3.33203125" style="33" customWidth="1"/>
    <col min="11259" max="11259" width="10.08203125" style="33" customWidth="1"/>
    <col min="11260" max="11260" width="31.5" style="33" customWidth="1"/>
    <col min="11261" max="11261" width="0" style="33" hidden="1" customWidth="1"/>
    <col min="11262" max="11262" width="7.6640625" style="33" customWidth="1"/>
    <col min="11263" max="11263" width="0.33203125" style="33" customWidth="1"/>
    <col min="11264" max="11264" width="4.58203125" style="33" customWidth="1"/>
    <col min="11265" max="11265" width="30.58203125" style="33" customWidth="1"/>
    <col min="11266" max="11266" width="4.58203125" style="33" customWidth="1"/>
    <col min="11267" max="11267" width="4.08203125" style="33" customWidth="1"/>
    <col min="11268" max="11268" width="6.4140625" style="33" customWidth="1"/>
    <col min="11269" max="11513" width="10.08203125" style="33"/>
    <col min="11514" max="11514" width="3.33203125" style="33" customWidth="1"/>
    <col min="11515" max="11515" width="10.08203125" style="33" customWidth="1"/>
    <col min="11516" max="11516" width="31.5" style="33" customWidth="1"/>
    <col min="11517" max="11517" width="0" style="33" hidden="1" customWidth="1"/>
    <col min="11518" max="11518" width="7.6640625" style="33" customWidth="1"/>
    <col min="11519" max="11519" width="0.33203125" style="33" customWidth="1"/>
    <col min="11520" max="11520" width="4.58203125" style="33" customWidth="1"/>
    <col min="11521" max="11521" width="30.58203125" style="33" customWidth="1"/>
    <col min="11522" max="11522" width="4.58203125" style="33" customWidth="1"/>
    <col min="11523" max="11523" width="4.08203125" style="33" customWidth="1"/>
    <col min="11524" max="11524" width="6.4140625" style="33" customWidth="1"/>
    <col min="11525" max="11769" width="10.08203125" style="33"/>
    <col min="11770" max="11770" width="3.33203125" style="33" customWidth="1"/>
    <col min="11771" max="11771" width="10.08203125" style="33" customWidth="1"/>
    <col min="11772" max="11772" width="31.5" style="33" customWidth="1"/>
    <col min="11773" max="11773" width="0" style="33" hidden="1" customWidth="1"/>
    <col min="11774" max="11774" width="7.6640625" style="33" customWidth="1"/>
    <col min="11775" max="11775" width="0.33203125" style="33" customWidth="1"/>
    <col min="11776" max="11776" width="4.58203125" style="33" customWidth="1"/>
    <col min="11777" max="11777" width="30.58203125" style="33" customWidth="1"/>
    <col min="11778" max="11778" width="4.58203125" style="33" customWidth="1"/>
    <col min="11779" max="11779" width="4.08203125" style="33" customWidth="1"/>
    <col min="11780" max="11780" width="6.4140625" style="33" customWidth="1"/>
    <col min="11781" max="12025" width="10.08203125" style="33"/>
    <col min="12026" max="12026" width="3.33203125" style="33" customWidth="1"/>
    <col min="12027" max="12027" width="10.08203125" style="33" customWidth="1"/>
    <col min="12028" max="12028" width="31.5" style="33" customWidth="1"/>
    <col min="12029" max="12029" width="0" style="33" hidden="1" customWidth="1"/>
    <col min="12030" max="12030" width="7.6640625" style="33" customWidth="1"/>
    <col min="12031" max="12031" width="0.33203125" style="33" customWidth="1"/>
    <col min="12032" max="12032" width="4.58203125" style="33" customWidth="1"/>
    <col min="12033" max="12033" width="30.58203125" style="33" customWidth="1"/>
    <col min="12034" max="12034" width="4.58203125" style="33" customWidth="1"/>
    <col min="12035" max="12035" width="4.08203125" style="33" customWidth="1"/>
    <col min="12036" max="12036" width="6.4140625" style="33" customWidth="1"/>
    <col min="12037" max="12281" width="10.08203125" style="33"/>
    <col min="12282" max="12282" width="3.33203125" style="33" customWidth="1"/>
    <col min="12283" max="12283" width="10.08203125" style="33" customWidth="1"/>
    <col min="12284" max="12284" width="31.5" style="33" customWidth="1"/>
    <col min="12285" max="12285" width="0" style="33" hidden="1" customWidth="1"/>
    <col min="12286" max="12286" width="7.6640625" style="33" customWidth="1"/>
    <col min="12287" max="12287" width="0.33203125" style="33" customWidth="1"/>
    <col min="12288" max="12288" width="4.58203125" style="33" customWidth="1"/>
    <col min="12289" max="12289" width="30.58203125" style="33" customWidth="1"/>
    <col min="12290" max="12290" width="4.58203125" style="33" customWidth="1"/>
    <col min="12291" max="12291" width="4.08203125" style="33" customWidth="1"/>
    <col min="12292" max="12292" width="6.4140625" style="33" customWidth="1"/>
    <col min="12293" max="12537" width="10.08203125" style="33"/>
    <col min="12538" max="12538" width="3.33203125" style="33" customWidth="1"/>
    <col min="12539" max="12539" width="10.08203125" style="33" customWidth="1"/>
    <col min="12540" max="12540" width="31.5" style="33" customWidth="1"/>
    <col min="12541" max="12541" width="0" style="33" hidden="1" customWidth="1"/>
    <col min="12542" max="12542" width="7.6640625" style="33" customWidth="1"/>
    <col min="12543" max="12543" width="0.33203125" style="33" customWidth="1"/>
    <col min="12544" max="12544" width="4.58203125" style="33" customWidth="1"/>
    <col min="12545" max="12545" width="30.58203125" style="33" customWidth="1"/>
    <col min="12546" max="12546" width="4.58203125" style="33" customWidth="1"/>
    <col min="12547" max="12547" width="4.08203125" style="33" customWidth="1"/>
    <col min="12548" max="12548" width="6.4140625" style="33" customWidth="1"/>
    <col min="12549" max="12793" width="10.08203125" style="33"/>
    <col min="12794" max="12794" width="3.33203125" style="33" customWidth="1"/>
    <col min="12795" max="12795" width="10.08203125" style="33" customWidth="1"/>
    <col min="12796" max="12796" width="31.5" style="33" customWidth="1"/>
    <col min="12797" max="12797" width="0" style="33" hidden="1" customWidth="1"/>
    <col min="12798" max="12798" width="7.6640625" style="33" customWidth="1"/>
    <col min="12799" max="12799" width="0.33203125" style="33" customWidth="1"/>
    <col min="12800" max="12800" width="4.58203125" style="33" customWidth="1"/>
    <col min="12801" max="12801" width="30.58203125" style="33" customWidth="1"/>
    <col min="12802" max="12802" width="4.58203125" style="33" customWidth="1"/>
    <col min="12803" max="12803" width="4.08203125" style="33" customWidth="1"/>
    <col min="12804" max="12804" width="6.4140625" style="33" customWidth="1"/>
    <col min="12805" max="13049" width="10.08203125" style="33"/>
    <col min="13050" max="13050" width="3.33203125" style="33" customWidth="1"/>
    <col min="13051" max="13051" width="10.08203125" style="33" customWidth="1"/>
    <col min="13052" max="13052" width="31.5" style="33" customWidth="1"/>
    <col min="13053" max="13053" width="0" style="33" hidden="1" customWidth="1"/>
    <col min="13054" max="13054" width="7.6640625" style="33" customWidth="1"/>
    <col min="13055" max="13055" width="0.33203125" style="33" customWidth="1"/>
    <col min="13056" max="13056" width="4.58203125" style="33" customWidth="1"/>
    <col min="13057" max="13057" width="30.58203125" style="33" customWidth="1"/>
    <col min="13058" max="13058" width="4.58203125" style="33" customWidth="1"/>
    <col min="13059" max="13059" width="4.08203125" style="33" customWidth="1"/>
    <col min="13060" max="13060" width="6.4140625" style="33" customWidth="1"/>
    <col min="13061" max="13305" width="10.08203125" style="33"/>
    <col min="13306" max="13306" width="3.33203125" style="33" customWidth="1"/>
    <col min="13307" max="13307" width="10.08203125" style="33" customWidth="1"/>
    <col min="13308" max="13308" width="31.5" style="33" customWidth="1"/>
    <col min="13309" max="13309" width="0" style="33" hidden="1" customWidth="1"/>
    <col min="13310" max="13310" width="7.6640625" style="33" customWidth="1"/>
    <col min="13311" max="13311" width="0.33203125" style="33" customWidth="1"/>
    <col min="13312" max="13312" width="4.58203125" style="33" customWidth="1"/>
    <col min="13313" max="13313" width="30.58203125" style="33" customWidth="1"/>
    <col min="13314" max="13314" width="4.58203125" style="33" customWidth="1"/>
    <col min="13315" max="13315" width="4.08203125" style="33" customWidth="1"/>
    <col min="13316" max="13316" width="6.4140625" style="33" customWidth="1"/>
    <col min="13317" max="13561" width="10.08203125" style="33"/>
    <col min="13562" max="13562" width="3.33203125" style="33" customWidth="1"/>
    <col min="13563" max="13563" width="10.08203125" style="33" customWidth="1"/>
    <col min="13564" max="13564" width="31.5" style="33" customWidth="1"/>
    <col min="13565" max="13565" width="0" style="33" hidden="1" customWidth="1"/>
    <col min="13566" max="13566" width="7.6640625" style="33" customWidth="1"/>
    <col min="13567" max="13567" width="0.33203125" style="33" customWidth="1"/>
    <col min="13568" max="13568" width="4.58203125" style="33" customWidth="1"/>
    <col min="13569" max="13569" width="30.58203125" style="33" customWidth="1"/>
    <col min="13570" max="13570" width="4.58203125" style="33" customWidth="1"/>
    <col min="13571" max="13571" width="4.08203125" style="33" customWidth="1"/>
    <col min="13572" max="13572" width="6.4140625" style="33" customWidth="1"/>
    <col min="13573" max="13817" width="10.08203125" style="33"/>
    <col min="13818" max="13818" width="3.33203125" style="33" customWidth="1"/>
    <col min="13819" max="13819" width="10.08203125" style="33" customWidth="1"/>
    <col min="13820" max="13820" width="31.5" style="33" customWidth="1"/>
    <col min="13821" max="13821" width="0" style="33" hidden="1" customWidth="1"/>
    <col min="13822" max="13822" width="7.6640625" style="33" customWidth="1"/>
    <col min="13823" max="13823" width="0.33203125" style="33" customWidth="1"/>
    <col min="13824" max="13824" width="4.58203125" style="33" customWidth="1"/>
    <col min="13825" max="13825" width="30.58203125" style="33" customWidth="1"/>
    <col min="13826" max="13826" width="4.58203125" style="33" customWidth="1"/>
    <col min="13827" max="13827" width="4.08203125" style="33" customWidth="1"/>
    <col min="13828" max="13828" width="6.4140625" style="33" customWidth="1"/>
    <col min="13829" max="14073" width="10.08203125" style="33"/>
    <col min="14074" max="14074" width="3.33203125" style="33" customWidth="1"/>
    <col min="14075" max="14075" width="10.08203125" style="33" customWidth="1"/>
    <col min="14076" max="14076" width="31.5" style="33" customWidth="1"/>
    <col min="14077" max="14077" width="0" style="33" hidden="1" customWidth="1"/>
    <col min="14078" max="14078" width="7.6640625" style="33" customWidth="1"/>
    <col min="14079" max="14079" width="0.33203125" style="33" customWidth="1"/>
    <col min="14080" max="14080" width="4.58203125" style="33" customWidth="1"/>
    <col min="14081" max="14081" width="30.58203125" style="33" customWidth="1"/>
    <col min="14082" max="14082" width="4.58203125" style="33" customWidth="1"/>
    <col min="14083" max="14083" width="4.08203125" style="33" customWidth="1"/>
    <col min="14084" max="14084" width="6.4140625" style="33" customWidth="1"/>
    <col min="14085" max="14329" width="10.08203125" style="33"/>
    <col min="14330" max="14330" width="3.33203125" style="33" customWidth="1"/>
    <col min="14331" max="14331" width="10.08203125" style="33" customWidth="1"/>
    <col min="14332" max="14332" width="31.5" style="33" customWidth="1"/>
    <col min="14333" max="14333" width="0" style="33" hidden="1" customWidth="1"/>
    <col min="14334" max="14334" width="7.6640625" style="33" customWidth="1"/>
    <col min="14335" max="14335" width="0.33203125" style="33" customWidth="1"/>
    <col min="14336" max="14336" width="4.58203125" style="33" customWidth="1"/>
    <col min="14337" max="14337" width="30.58203125" style="33" customWidth="1"/>
    <col min="14338" max="14338" width="4.58203125" style="33" customWidth="1"/>
    <col min="14339" max="14339" width="4.08203125" style="33" customWidth="1"/>
    <col min="14340" max="14340" width="6.4140625" style="33" customWidth="1"/>
    <col min="14341" max="14585" width="10.08203125" style="33"/>
    <col min="14586" max="14586" width="3.33203125" style="33" customWidth="1"/>
    <col min="14587" max="14587" width="10.08203125" style="33" customWidth="1"/>
    <col min="14588" max="14588" width="31.5" style="33" customWidth="1"/>
    <col min="14589" max="14589" width="0" style="33" hidden="1" customWidth="1"/>
    <col min="14590" max="14590" width="7.6640625" style="33" customWidth="1"/>
    <col min="14591" max="14591" width="0.33203125" style="33" customWidth="1"/>
    <col min="14592" max="14592" width="4.58203125" style="33" customWidth="1"/>
    <col min="14593" max="14593" width="30.58203125" style="33" customWidth="1"/>
    <col min="14594" max="14594" width="4.58203125" style="33" customWidth="1"/>
    <col min="14595" max="14595" width="4.08203125" style="33" customWidth="1"/>
    <col min="14596" max="14596" width="6.4140625" style="33" customWidth="1"/>
    <col min="14597" max="14841" width="10.08203125" style="33"/>
    <col min="14842" max="14842" width="3.33203125" style="33" customWidth="1"/>
    <col min="14843" max="14843" width="10.08203125" style="33" customWidth="1"/>
    <col min="14844" max="14844" width="31.5" style="33" customWidth="1"/>
    <col min="14845" max="14845" width="0" style="33" hidden="1" customWidth="1"/>
    <col min="14846" max="14846" width="7.6640625" style="33" customWidth="1"/>
    <col min="14847" max="14847" width="0.33203125" style="33" customWidth="1"/>
    <col min="14848" max="14848" width="4.58203125" style="33" customWidth="1"/>
    <col min="14849" max="14849" width="30.58203125" style="33" customWidth="1"/>
    <col min="14850" max="14850" width="4.58203125" style="33" customWidth="1"/>
    <col min="14851" max="14851" width="4.08203125" style="33" customWidth="1"/>
    <col min="14852" max="14852" width="6.4140625" style="33" customWidth="1"/>
    <col min="14853" max="15097" width="10.08203125" style="33"/>
    <col min="15098" max="15098" width="3.33203125" style="33" customWidth="1"/>
    <col min="15099" max="15099" width="10.08203125" style="33" customWidth="1"/>
    <col min="15100" max="15100" width="31.5" style="33" customWidth="1"/>
    <col min="15101" max="15101" width="0" style="33" hidden="1" customWidth="1"/>
    <col min="15102" max="15102" width="7.6640625" style="33" customWidth="1"/>
    <col min="15103" max="15103" width="0.33203125" style="33" customWidth="1"/>
    <col min="15104" max="15104" width="4.58203125" style="33" customWidth="1"/>
    <col min="15105" max="15105" width="30.58203125" style="33" customWidth="1"/>
    <col min="15106" max="15106" width="4.58203125" style="33" customWidth="1"/>
    <col min="15107" max="15107" width="4.08203125" style="33" customWidth="1"/>
    <col min="15108" max="15108" width="6.4140625" style="33" customWidth="1"/>
    <col min="15109" max="15353" width="10.08203125" style="33"/>
    <col min="15354" max="15354" width="3.33203125" style="33" customWidth="1"/>
    <col min="15355" max="15355" width="10.08203125" style="33" customWidth="1"/>
    <col min="15356" max="15356" width="31.5" style="33" customWidth="1"/>
    <col min="15357" max="15357" width="0" style="33" hidden="1" customWidth="1"/>
    <col min="15358" max="15358" width="7.6640625" style="33" customWidth="1"/>
    <col min="15359" max="15359" width="0.33203125" style="33" customWidth="1"/>
    <col min="15360" max="15360" width="4.58203125" style="33" customWidth="1"/>
    <col min="15361" max="15361" width="30.58203125" style="33" customWidth="1"/>
    <col min="15362" max="15362" width="4.58203125" style="33" customWidth="1"/>
    <col min="15363" max="15363" width="4.08203125" style="33" customWidth="1"/>
    <col min="15364" max="15364" width="6.4140625" style="33" customWidth="1"/>
    <col min="15365" max="15609" width="10.08203125" style="33"/>
    <col min="15610" max="15610" width="3.33203125" style="33" customWidth="1"/>
    <col min="15611" max="15611" width="10.08203125" style="33" customWidth="1"/>
    <col min="15612" max="15612" width="31.5" style="33" customWidth="1"/>
    <col min="15613" max="15613" width="0" style="33" hidden="1" customWidth="1"/>
    <col min="15614" max="15614" width="7.6640625" style="33" customWidth="1"/>
    <col min="15615" max="15615" width="0.33203125" style="33" customWidth="1"/>
    <col min="15616" max="15616" width="4.58203125" style="33" customWidth="1"/>
    <col min="15617" max="15617" width="30.58203125" style="33" customWidth="1"/>
    <col min="15618" max="15618" width="4.58203125" style="33" customWidth="1"/>
    <col min="15619" max="15619" width="4.08203125" style="33" customWidth="1"/>
    <col min="15620" max="15620" width="6.4140625" style="33" customWidth="1"/>
    <col min="15621" max="15865" width="10.08203125" style="33"/>
    <col min="15866" max="15866" width="3.33203125" style="33" customWidth="1"/>
    <col min="15867" max="15867" width="10.08203125" style="33" customWidth="1"/>
    <col min="15868" max="15868" width="31.5" style="33" customWidth="1"/>
    <col min="15869" max="15869" width="0" style="33" hidden="1" customWidth="1"/>
    <col min="15870" max="15870" width="7.6640625" style="33" customWidth="1"/>
    <col min="15871" max="15871" width="0.33203125" style="33" customWidth="1"/>
    <col min="15872" max="15872" width="4.58203125" style="33" customWidth="1"/>
    <col min="15873" max="15873" width="30.58203125" style="33" customWidth="1"/>
    <col min="15874" max="15874" width="4.58203125" style="33" customWidth="1"/>
    <col min="15875" max="15875" width="4.08203125" style="33" customWidth="1"/>
    <col min="15876" max="15876" width="6.4140625" style="33" customWidth="1"/>
    <col min="15877" max="16121" width="10.08203125" style="33"/>
    <col min="16122" max="16122" width="3.33203125" style="33" customWidth="1"/>
    <col min="16123" max="16123" width="10.08203125" style="33" customWidth="1"/>
    <col min="16124" max="16124" width="31.5" style="33" customWidth="1"/>
    <col min="16125" max="16125" width="0" style="33" hidden="1" customWidth="1"/>
    <col min="16126" max="16126" width="7.6640625" style="33" customWidth="1"/>
    <col min="16127" max="16127" width="0.33203125" style="33" customWidth="1"/>
    <col min="16128" max="16128" width="4.58203125" style="33" customWidth="1"/>
    <col min="16129" max="16129" width="30.58203125" style="33" customWidth="1"/>
    <col min="16130" max="16130" width="4.58203125" style="33" customWidth="1"/>
    <col min="16131" max="16131" width="4.08203125" style="33" customWidth="1"/>
    <col min="16132" max="16132" width="6.4140625" style="33" customWidth="1"/>
    <col min="16133" max="16384" width="10.08203125" style="33"/>
  </cols>
  <sheetData>
    <row r="1" spans="1:14" ht="18.5" thickBot="1">
      <c r="A1" s="31"/>
      <c r="B1" s="1437" t="s">
        <v>893</v>
      </c>
      <c r="C1" s="1437"/>
      <c r="D1" s="1437"/>
      <c r="E1" s="32"/>
      <c r="G1" s="283" t="s">
        <v>84</v>
      </c>
      <c r="H1" s="32"/>
      <c r="I1" s="1177"/>
      <c r="J1" s="339"/>
    </row>
    <row r="2" spans="1:14" ht="16.5" customHeight="1">
      <c r="A2" s="1438"/>
      <c r="B2" s="1439"/>
      <c r="C2" s="284" t="s">
        <v>891</v>
      </c>
      <c r="D2" s="1164" t="s">
        <v>892</v>
      </c>
      <c r="E2" s="285"/>
      <c r="F2" s="286"/>
      <c r="G2" s="287"/>
      <c r="H2" s="284" t="s">
        <v>891</v>
      </c>
      <c r="I2" s="1164" t="s">
        <v>892</v>
      </c>
      <c r="J2" s="340"/>
    </row>
    <row r="3" spans="1:14" ht="18" customHeight="1">
      <c r="A3" s="1440" t="s">
        <v>85</v>
      </c>
      <c r="B3" s="1441"/>
      <c r="C3" s="976"/>
      <c r="D3" s="1165"/>
      <c r="E3" s="289"/>
      <c r="F3" s="977"/>
      <c r="G3" s="978"/>
      <c r="H3" s="979"/>
      <c r="I3" s="1178"/>
      <c r="J3" s="340"/>
    </row>
    <row r="4" spans="1:14" ht="14">
      <c r="A4" s="980">
        <v>60</v>
      </c>
      <c r="B4" s="981" t="s">
        <v>86</v>
      </c>
      <c r="C4" s="982"/>
      <c r="D4" s="1166"/>
      <c r="E4" s="289"/>
      <c r="F4" s="981"/>
      <c r="G4" s="981" t="s">
        <v>87</v>
      </c>
      <c r="H4" s="982"/>
      <c r="I4" s="1179"/>
      <c r="J4" s="341"/>
    </row>
    <row r="5" spans="1:14" ht="14" customHeight="1">
      <c r="A5" s="983">
        <v>601</v>
      </c>
      <c r="B5" s="984" t="s">
        <v>88</v>
      </c>
      <c r="C5" s="985"/>
      <c r="D5" s="1167"/>
      <c r="E5" s="289"/>
      <c r="F5" s="986">
        <v>63</v>
      </c>
      <c r="G5" s="987" t="s">
        <v>89</v>
      </c>
      <c r="H5" s="985"/>
      <c r="I5" s="1167"/>
      <c r="J5" s="342"/>
      <c r="K5" s="34"/>
      <c r="L5" s="34"/>
    </row>
    <row r="6" spans="1:14" ht="14">
      <c r="A6" s="290">
        <v>602</v>
      </c>
      <c r="B6" s="291" t="s">
        <v>90</v>
      </c>
      <c r="C6" s="292"/>
      <c r="D6" s="1167"/>
      <c r="E6" s="289"/>
      <c r="F6" s="293">
        <v>65</v>
      </c>
      <c r="G6" s="294" t="s">
        <v>91</v>
      </c>
      <c r="H6" s="292"/>
      <c r="I6" s="1167"/>
      <c r="J6" s="342"/>
      <c r="K6" s="34"/>
      <c r="L6" s="34"/>
    </row>
    <row r="7" spans="1:14" ht="14">
      <c r="A7" s="290">
        <v>604</v>
      </c>
      <c r="B7" s="291" t="s">
        <v>412</v>
      </c>
      <c r="C7" s="295">
        <f>-GETPIVOTDATA("COMPTA",'0 BUDGETS 2425'!$I$6,"NATURE",6040,"LIB NATURE","prestations études","CH/PDT","chges")</f>
        <v>1200</v>
      </c>
      <c r="D7" s="1167"/>
      <c r="E7" s="289"/>
      <c r="F7" s="293">
        <v>66</v>
      </c>
      <c r="G7" s="294" t="s">
        <v>92</v>
      </c>
      <c r="H7" s="292"/>
      <c r="I7" s="1167"/>
      <c r="J7" s="342"/>
      <c r="K7" s="34"/>
      <c r="L7" s="34"/>
    </row>
    <row r="8" spans="1:14" ht="14">
      <c r="A8" s="290">
        <v>606</v>
      </c>
      <c r="B8" s="291" t="s">
        <v>93</v>
      </c>
      <c r="C8" s="295">
        <f>-GETPIVOTDATA("COMPTA",'0 BUDGETS 2425'!$I$6,"NATURE",6064,"LIB NATURE","Frais de fonctionnement et fourniture","CH/PDT","chges")</f>
        <v>73.09</v>
      </c>
      <c r="D8" s="1167">
        <v>73.09</v>
      </c>
      <c r="E8" s="289"/>
      <c r="F8" s="293">
        <v>67</v>
      </c>
      <c r="G8" s="294" t="s">
        <v>94</v>
      </c>
      <c r="H8" s="292"/>
      <c r="I8" s="1167"/>
      <c r="J8" s="342"/>
      <c r="K8" s="34"/>
      <c r="L8" s="34"/>
    </row>
    <row r="9" spans="1:14" ht="16" thickBot="1">
      <c r="A9" s="296">
        <v>607</v>
      </c>
      <c r="B9" s="297" t="s">
        <v>419</v>
      </c>
      <c r="C9" s="298"/>
      <c r="D9" s="1167"/>
      <c r="E9" s="289"/>
      <c r="F9" s="293">
        <v>68</v>
      </c>
      <c r="G9" s="294" t="s">
        <v>95</v>
      </c>
      <c r="H9" s="292"/>
      <c r="I9" s="1167"/>
      <c r="J9" s="342"/>
      <c r="K9" s="343"/>
      <c r="L9" s="343"/>
    </row>
    <row r="10" spans="1:14" ht="14.5" thickBot="1">
      <c r="A10" s="988"/>
      <c r="B10" s="989" t="s">
        <v>96</v>
      </c>
      <c r="C10" s="990">
        <f>SUM(C5:C9)</f>
        <v>1273.0899999999999</v>
      </c>
      <c r="D10" s="1168">
        <v>73.09</v>
      </c>
      <c r="E10" s="289"/>
      <c r="F10" s="299">
        <v>69</v>
      </c>
      <c r="G10" s="300" t="s">
        <v>97</v>
      </c>
      <c r="H10" s="301"/>
      <c r="I10" s="1167"/>
      <c r="J10" s="342"/>
      <c r="K10" s="286"/>
      <c r="L10" s="992"/>
      <c r="M10" s="284" t="s">
        <v>891</v>
      </c>
      <c r="N10" s="288" t="s">
        <v>892</v>
      </c>
    </row>
    <row r="11" spans="1:14" s="303" customFormat="1" ht="14">
      <c r="A11" s="993">
        <v>603</v>
      </c>
      <c r="B11" s="994" t="s">
        <v>98</v>
      </c>
      <c r="C11" s="995"/>
      <c r="D11" s="1169"/>
      <c r="E11" s="302"/>
      <c r="F11" s="996"/>
      <c r="G11" s="996" t="s">
        <v>99</v>
      </c>
      <c r="H11" s="997">
        <f>SUM(H5:H10)</f>
        <v>0</v>
      </c>
      <c r="I11" s="1180">
        <v>0</v>
      </c>
      <c r="J11" s="344"/>
      <c r="K11" s="335" t="s">
        <v>583</v>
      </c>
      <c r="L11" s="336"/>
      <c r="M11" s="1197">
        <f>+N11+N12</f>
        <v>1084.4100000000108</v>
      </c>
      <c r="N11" s="1198">
        <v>17129.07</v>
      </c>
    </row>
    <row r="12" spans="1:14" ht="14">
      <c r="A12" s="980">
        <v>61</v>
      </c>
      <c r="B12" s="998" t="s">
        <v>37</v>
      </c>
      <c r="C12" s="999"/>
      <c r="D12" s="1170"/>
      <c r="E12" s="304"/>
      <c r="F12" s="305"/>
      <c r="G12" s="304"/>
      <c r="H12" s="304"/>
      <c r="I12" s="1181"/>
      <c r="J12" s="289"/>
      <c r="K12" s="38" t="s">
        <v>418</v>
      </c>
      <c r="L12" s="39"/>
      <c r="M12" s="319">
        <f>C49</f>
        <v>1758.9980000000069</v>
      </c>
      <c r="N12" s="1199">
        <f>D49</f>
        <v>-16044.659999999989</v>
      </c>
    </row>
    <row r="13" spans="1:14" ht="14.5" customHeight="1">
      <c r="A13" s="983">
        <v>611</v>
      </c>
      <c r="B13" s="984" t="s">
        <v>101</v>
      </c>
      <c r="C13" s="1000">
        <f>-GETPIVOTDATA("COMPTA",'0 BUDGETS 2425'!$I$6,"NATURE",6110,"LIB NATURE","Sous traitance projet","CH/PDT","chges")</f>
        <v>59025</v>
      </c>
      <c r="D13" s="1167">
        <v>62221</v>
      </c>
      <c r="E13" s="304"/>
      <c r="F13" s="1442" t="s">
        <v>103</v>
      </c>
      <c r="G13" s="1441"/>
      <c r="H13" s="976"/>
      <c r="I13" s="1182"/>
      <c r="J13" s="345"/>
      <c r="K13" s="38"/>
      <c r="L13" s="39"/>
      <c r="M13" s="319"/>
      <c r="N13" s="1199"/>
    </row>
    <row r="14" spans="1:14" ht="14.5" customHeight="1" thickBot="1">
      <c r="A14" s="290">
        <v>612</v>
      </c>
      <c r="B14" s="291" t="s">
        <v>102</v>
      </c>
      <c r="C14" s="295"/>
      <c r="D14" s="1167"/>
      <c r="E14" s="304"/>
      <c r="F14" s="981">
        <v>70</v>
      </c>
      <c r="G14" s="981" t="s">
        <v>105</v>
      </c>
      <c r="H14" s="981"/>
      <c r="I14" s="1183"/>
      <c r="J14" s="346"/>
      <c r="K14" s="338" t="s">
        <v>873</v>
      </c>
      <c r="L14" s="1001"/>
      <c r="M14" s="1200">
        <f>SUM(M11:M13)</f>
        <v>2843.4080000000176</v>
      </c>
      <c r="N14" s="1201">
        <f>SUM(N11:N13)</f>
        <v>1084.4100000000108</v>
      </c>
    </row>
    <row r="15" spans="1:14" ht="14">
      <c r="A15" s="290">
        <v>613</v>
      </c>
      <c r="B15" s="291" t="s">
        <v>104</v>
      </c>
      <c r="C15" s="295"/>
      <c r="D15" s="1167"/>
      <c r="E15" s="304"/>
      <c r="F15" s="1002">
        <v>701</v>
      </c>
      <c r="G15" s="984" t="s">
        <v>107</v>
      </c>
      <c r="H15" s="985"/>
      <c r="I15" s="1167"/>
      <c r="J15" s="342"/>
      <c r="M15" s="497"/>
    </row>
    <row r="16" spans="1:14" ht="14">
      <c r="A16" s="290">
        <v>614</v>
      </c>
      <c r="B16" s="291" t="s">
        <v>106</v>
      </c>
      <c r="C16" s="295"/>
      <c r="D16" s="1167"/>
      <c r="E16" s="304"/>
      <c r="F16" s="306">
        <v>702</v>
      </c>
      <c r="G16" s="291" t="s">
        <v>108</v>
      </c>
      <c r="H16" s="292"/>
      <c r="I16" s="1167"/>
      <c r="J16" s="342"/>
      <c r="M16" s="497"/>
    </row>
    <row r="17" spans="1:17" ht="14">
      <c r="A17" s="290">
        <v>615</v>
      </c>
      <c r="B17" s="291" t="s">
        <v>41</v>
      </c>
      <c r="C17" s="295"/>
      <c r="D17" s="1167"/>
      <c r="E17" s="304"/>
      <c r="F17" s="306">
        <v>704</v>
      </c>
      <c r="G17" s="291" t="s">
        <v>109</v>
      </c>
      <c r="H17" s="292"/>
      <c r="I17" s="1167"/>
      <c r="J17" s="342"/>
      <c r="M17" s="497"/>
    </row>
    <row r="18" spans="1:17" ht="14.5" customHeight="1">
      <c r="A18" s="290">
        <v>616</v>
      </c>
      <c r="B18" s="291" t="s">
        <v>413</v>
      </c>
      <c r="C18" s="295">
        <f>-GETPIVOTDATA("COMPTA",'0 BUDGETS 2425'!$I$6,"NATURE",6160,"LIB NATURE","Assurance RC","CH/PDT","chges")</f>
        <v>116.1</v>
      </c>
      <c r="D18" s="1167">
        <v>116.1</v>
      </c>
      <c r="E18" s="304"/>
      <c r="F18" s="306">
        <v>705</v>
      </c>
      <c r="G18" s="291" t="s">
        <v>111</v>
      </c>
      <c r="H18" s="292"/>
      <c r="I18" s="1167"/>
      <c r="J18" s="342"/>
      <c r="M18" s="497"/>
    </row>
    <row r="19" spans="1:17" ht="14">
      <c r="A19" s="290">
        <v>617</v>
      </c>
      <c r="B19" s="291" t="s">
        <v>110</v>
      </c>
      <c r="C19" s="295"/>
      <c r="D19" s="1167"/>
      <c r="E19" s="304"/>
      <c r="F19" s="306">
        <v>706</v>
      </c>
      <c r="G19" s="291" t="s">
        <v>31</v>
      </c>
      <c r="H19" s="292"/>
      <c r="I19" s="1167"/>
      <c r="J19" s="342"/>
      <c r="M19" s="497"/>
    </row>
    <row r="20" spans="1:17" ht="14">
      <c r="A20" s="296">
        <v>618</v>
      </c>
      <c r="B20" s="297" t="s">
        <v>34</v>
      </c>
      <c r="C20" s="298"/>
      <c r="D20" s="1167"/>
      <c r="E20" s="304"/>
      <c r="F20" s="306">
        <v>707</v>
      </c>
      <c r="G20" s="291" t="s">
        <v>113</v>
      </c>
      <c r="H20" s="292"/>
      <c r="I20" s="1167"/>
      <c r="J20" s="342"/>
      <c r="M20" s="497"/>
    </row>
    <row r="21" spans="1:17" ht="14.5" customHeight="1">
      <c r="A21" s="1003"/>
      <c r="B21" s="1004" t="s">
        <v>112</v>
      </c>
      <c r="C21" s="997">
        <f>SUM(C13:C20)</f>
        <v>59141.1</v>
      </c>
      <c r="D21" s="1171">
        <v>62337.1</v>
      </c>
      <c r="E21" s="304"/>
      <c r="F21" s="299">
        <v>708</v>
      </c>
      <c r="G21" s="300" t="s">
        <v>32</v>
      </c>
      <c r="H21" s="301"/>
      <c r="I21" s="1167"/>
      <c r="J21" s="347"/>
      <c r="M21" s="497"/>
    </row>
    <row r="22" spans="1:17" s="308" customFormat="1" ht="14">
      <c r="A22" s="980">
        <v>62</v>
      </c>
      <c r="B22" s="981" t="s">
        <v>43</v>
      </c>
      <c r="C22" s="999"/>
      <c r="D22" s="1170"/>
      <c r="E22" s="307"/>
      <c r="F22" s="1005"/>
      <c r="G22" s="1004" t="s">
        <v>115</v>
      </c>
      <c r="H22" s="997">
        <f>SUM(H15:H21)</f>
        <v>0</v>
      </c>
      <c r="I22" s="1180">
        <v>0</v>
      </c>
      <c r="J22" s="344"/>
      <c r="K22" s="33"/>
      <c r="L22" s="33"/>
      <c r="M22" s="497"/>
      <c r="N22" s="33"/>
      <c r="O22" s="33"/>
      <c r="P22" s="33"/>
      <c r="Q22" s="33"/>
    </row>
    <row r="23" spans="1:17" ht="14.5" customHeight="1">
      <c r="A23" s="983">
        <v>621</v>
      </c>
      <c r="B23" s="984" t="s">
        <v>114</v>
      </c>
      <c r="C23" s="985"/>
      <c r="D23" s="1167"/>
      <c r="E23" s="304"/>
      <c r="F23" s="1005"/>
      <c r="G23" s="1006"/>
      <c r="H23" s="1007"/>
      <c r="I23" s="1184"/>
      <c r="J23" s="348"/>
      <c r="M23" s="497"/>
    </row>
    <row r="24" spans="1:17" ht="14.5" customHeight="1">
      <c r="A24" s="290">
        <v>622</v>
      </c>
      <c r="B24" s="291" t="s">
        <v>116</v>
      </c>
      <c r="C24" s="295">
        <f>-GETPIVOTDATA("COMPTA",'0 BUDGETS 2425'!$I$6,"NATURE",6228,"LIB NATURE","formation","CH/PDT","chges")</f>
        <v>1512.5</v>
      </c>
      <c r="D24" s="1167"/>
      <c r="E24" s="304"/>
      <c r="F24" s="981">
        <v>75</v>
      </c>
      <c r="G24" s="981" t="s">
        <v>117</v>
      </c>
      <c r="H24" s="982"/>
      <c r="I24" s="1179"/>
      <c r="J24" s="341"/>
      <c r="M24" s="497"/>
    </row>
    <row r="25" spans="1:17" ht="14">
      <c r="A25" s="290">
        <v>623</v>
      </c>
      <c r="B25" s="291" t="s">
        <v>414</v>
      </c>
      <c r="C25" s="295">
        <f>-GETPIVOTDATA("COMPTA",'0 BUDGETS 2425'!$I$6,"NATURE",6230,"LIB NATURE","communication","CH/PDT","chges")</f>
        <v>1925.2819999999999</v>
      </c>
      <c r="D25" s="1167">
        <v>768.03000000000009</v>
      </c>
      <c r="E25" s="304"/>
      <c r="F25" s="1002">
        <v>751</v>
      </c>
      <c r="G25" s="984" t="s">
        <v>118</v>
      </c>
      <c r="H25" s="1000"/>
      <c r="I25" s="1167"/>
      <c r="J25" s="347"/>
      <c r="M25" s="497"/>
    </row>
    <row r="26" spans="1:17" ht="14">
      <c r="A26" s="290">
        <v>624</v>
      </c>
      <c r="B26" s="291" t="s">
        <v>155</v>
      </c>
      <c r="C26" s="295"/>
      <c r="D26" s="1167"/>
      <c r="E26" s="304"/>
      <c r="F26" s="306">
        <v>754</v>
      </c>
      <c r="G26" s="291" t="s">
        <v>119</v>
      </c>
      <c r="H26" s="295"/>
      <c r="I26" s="1167"/>
      <c r="J26" s="347"/>
      <c r="M26" s="497"/>
    </row>
    <row r="27" spans="1:17" ht="14.5" customHeight="1">
      <c r="A27" s="290">
        <v>625</v>
      </c>
      <c r="B27" s="291" t="s">
        <v>415</v>
      </c>
      <c r="C27" s="295">
        <f>-GETPIVOTDATA("COMPTA",'0 BUDGETS 2425'!$I$6,"NATURE",6250,"LIB NATURE","déplacements","CH/PDT","chges")</f>
        <v>7208.14</v>
      </c>
      <c r="D27" s="1167">
        <v>116.86000000000001</v>
      </c>
      <c r="E27" s="304"/>
      <c r="F27" s="306">
        <v>756</v>
      </c>
      <c r="G27" s="291" t="s">
        <v>120</v>
      </c>
      <c r="H27" s="295">
        <f>GETPIVOTDATA("COMPTA",'0 BUDGETS 2425'!$I$6,"NATURE",7581,"LIB NATURE","Adhésions association","CH/PDT","pdts")</f>
        <v>1500</v>
      </c>
      <c r="I27" s="1167">
        <v>1320</v>
      </c>
      <c r="J27" s="347"/>
      <c r="M27" s="497"/>
    </row>
    <row r="28" spans="1:17" ht="14.5" customHeight="1">
      <c r="A28" s="290">
        <v>626</v>
      </c>
      <c r="B28" s="310" t="s">
        <v>416</v>
      </c>
      <c r="C28" s="295">
        <f>-GETPIVOTDATA("COMPTA",'0 BUDGETS 2425'!$I$6,"NATURE",6261,"LIB NATURE","Frais d'envoi","CH/PDT","chges")</f>
        <v>1393.1200000000001</v>
      </c>
      <c r="D28" s="1167">
        <v>134.72</v>
      </c>
      <c r="E28" s="304"/>
      <c r="F28" s="311">
        <v>758</v>
      </c>
      <c r="G28" s="312" t="s">
        <v>121</v>
      </c>
      <c r="H28" s="298"/>
      <c r="I28" s="1167"/>
      <c r="J28" s="347"/>
      <c r="M28" s="497"/>
    </row>
    <row r="29" spans="1:17" ht="14">
      <c r="A29" s="290">
        <v>627</v>
      </c>
      <c r="B29" s="313" t="s">
        <v>122</v>
      </c>
      <c r="C29" s="295"/>
      <c r="D29" s="1167"/>
      <c r="E29" s="304"/>
      <c r="F29" s="989"/>
      <c r="G29" s="989" t="s">
        <v>123</v>
      </c>
      <c r="H29" s="990">
        <f>SUM(H25:H28)</f>
        <v>1500</v>
      </c>
      <c r="I29" s="1185">
        <v>1320</v>
      </c>
      <c r="J29" s="344"/>
      <c r="M29" s="497"/>
    </row>
    <row r="30" spans="1:17" ht="14.5" customHeight="1">
      <c r="A30" s="290">
        <v>628</v>
      </c>
      <c r="B30" s="291" t="s">
        <v>124</v>
      </c>
      <c r="C30" s="295">
        <f>-GETPIVOTDATA("COMPTA",'0 BUDGETS 2425'!$I$6,"NATURE",6281,"LIB NATURE","adhésion Hellasso+ autres","CH/PDT","chges")-C31</f>
        <v>50</v>
      </c>
      <c r="D30" s="1167">
        <v>20</v>
      </c>
      <c r="E30" s="304"/>
      <c r="F30" s="1008"/>
      <c r="G30" s="1009"/>
      <c r="H30" s="1010"/>
      <c r="I30" s="1186"/>
      <c r="J30" s="348"/>
      <c r="M30" s="497"/>
    </row>
    <row r="31" spans="1:17" ht="14">
      <c r="A31" s="290"/>
      <c r="B31" s="291" t="s">
        <v>125</v>
      </c>
      <c r="C31" s="295"/>
      <c r="D31" s="1167">
        <v>30</v>
      </c>
      <c r="E31" s="304"/>
      <c r="F31" s="1011"/>
      <c r="G31" s="1012" t="s">
        <v>127</v>
      </c>
      <c r="H31" s="1013"/>
      <c r="I31" s="1187"/>
      <c r="J31" s="348"/>
      <c r="M31" s="497"/>
    </row>
    <row r="32" spans="1:17" ht="14">
      <c r="A32" s="290"/>
      <c r="B32" s="314" t="s">
        <v>126</v>
      </c>
      <c r="C32" s="295"/>
      <c r="D32" s="1167"/>
      <c r="E32" s="304"/>
      <c r="F32" s="1014">
        <v>71</v>
      </c>
      <c r="G32" s="984" t="s">
        <v>129</v>
      </c>
      <c r="H32" s="1015"/>
      <c r="I32" s="1167"/>
      <c r="J32" s="348"/>
      <c r="M32" s="497"/>
    </row>
    <row r="33" spans="1:17" ht="14">
      <c r="A33" s="315"/>
      <c r="B33" s="316" t="s">
        <v>582</v>
      </c>
      <c r="C33" s="298"/>
      <c r="D33" s="1167"/>
      <c r="E33" s="304"/>
      <c r="F33" s="317">
        <v>72</v>
      </c>
      <c r="G33" s="291" t="s">
        <v>130</v>
      </c>
      <c r="H33" s="318"/>
      <c r="I33" s="1167"/>
      <c r="J33" s="348"/>
      <c r="K33" s="1194"/>
      <c r="L33" s="1194"/>
      <c r="M33" s="1194"/>
      <c r="N33" s="1194"/>
      <c r="O33" s="1194"/>
    </row>
    <row r="34" spans="1:17" ht="14">
      <c r="A34" s="1016"/>
      <c r="B34" s="1017" t="s">
        <v>128</v>
      </c>
      <c r="C34" s="1018">
        <f>SUM(C23:C33)</f>
        <v>12089.042000000001</v>
      </c>
      <c r="D34" s="1172">
        <v>1069.6100000000001</v>
      </c>
      <c r="E34" s="304"/>
      <c r="F34" s="317">
        <v>73</v>
      </c>
      <c r="G34" s="291" t="s">
        <v>131</v>
      </c>
      <c r="H34" s="318"/>
      <c r="I34" s="1167"/>
      <c r="J34" s="348"/>
      <c r="K34" s="1194"/>
      <c r="L34" s="1194"/>
      <c r="M34" s="1194"/>
      <c r="N34" s="1194"/>
      <c r="O34" s="1194"/>
    </row>
    <row r="35" spans="1:17" ht="14">
      <c r="A35" s="980">
        <v>64</v>
      </c>
      <c r="B35" s="981" t="s">
        <v>62</v>
      </c>
      <c r="C35" s="999"/>
      <c r="D35" s="1170"/>
      <c r="E35" s="319"/>
      <c r="F35" s="317">
        <v>74</v>
      </c>
      <c r="G35" s="291" t="s">
        <v>420</v>
      </c>
      <c r="H35" s="318">
        <f>+GETPIVOTDATA("COMPTA",'0 BUDGETS 2425'!$I$6,"NATURE",7410,"LIB NATURE","Subventions Région Nouvelle Aquitaine","CH/PDT","pdts")+GETPIVOTDATA("COMPTA",'0 BUDGETS 2425'!$I$6,"NATURE",7420,"LIB NATURE","Subvention Agence Micro Projet","CH/PDT","pdts")+GETPIVOTDATA("COMPTA",'0 BUDGETS 2425'!$I$6,"NATURE",7430,"LIB NATURE","Subvention Agence Adour Garonne","CH/PDT","pdts")+GETPIVOTDATA("COMPTA",'0 BUDGETS 2425'!$I$6,"NATURE",7440,"LIB NATURE","Subvention Bx Métropole","CH/PDT","pdts")+GETPIVOTDATA("COMPTA",'0 BUDGETS 2425'!$I$6,"NATURE",7450,"LIB NATURE","Subv Aglo de Brive / Valorem","CH/PDT","pdts")+GETPIVOTDATA("COMPTA",'0 BUDGETS 2425'!$I$6,"NATURE",7480,"LIB NATURE","Subventions Fraternité","CH/PDT","pdts")</f>
        <v>67832.45</v>
      </c>
      <c r="I35" s="1167">
        <v>44819.8</v>
      </c>
      <c r="J35" s="348"/>
      <c r="K35" s="1019"/>
      <c r="L35" s="1019"/>
      <c r="M35" s="1194"/>
      <c r="N35" s="1194"/>
      <c r="O35" s="1194"/>
    </row>
    <row r="36" spans="1:17" ht="15.5">
      <c r="A36" s="983">
        <v>641</v>
      </c>
      <c r="B36" s="1020" t="s">
        <v>132</v>
      </c>
      <c r="C36" s="985"/>
      <c r="D36" s="1167"/>
      <c r="E36" s="319"/>
      <c r="F36" s="317">
        <v>76</v>
      </c>
      <c r="G36" s="291" t="s">
        <v>61</v>
      </c>
      <c r="H36" s="318"/>
      <c r="I36" s="1167"/>
      <c r="J36" s="348"/>
      <c r="K36" s="1021"/>
      <c r="L36" s="1021"/>
      <c r="M36" s="1194"/>
      <c r="N36" s="1194"/>
      <c r="O36" s="1194"/>
    </row>
    <row r="37" spans="1:17" ht="15.5">
      <c r="A37" s="290">
        <v>645</v>
      </c>
      <c r="B37" s="291" t="s">
        <v>133</v>
      </c>
      <c r="C37" s="292"/>
      <c r="D37" s="1167"/>
      <c r="E37" s="319"/>
      <c r="F37" s="317">
        <v>77</v>
      </c>
      <c r="G37" s="291" t="s">
        <v>874</v>
      </c>
      <c r="H37" s="318">
        <f>+GETPIVOTDATA("COMPTA",'0 BUDGETS 2425'!$I$6,"NATURE",7770,"LIB NATURE","Produits exceptionnels","CH/PDT","pdts")+GETPIVOTDATA("COMPTA",'0 BUDGETS 2425'!$I$6,"NATURE",7771,"LIB NATURE","Dons et participations à l""association","CH/PDT","pdts")</f>
        <v>4929.78</v>
      </c>
      <c r="I37" s="1167">
        <v>1295</v>
      </c>
      <c r="J37" s="348"/>
      <c r="K37" s="1021"/>
      <c r="L37" s="1021"/>
      <c r="M37" s="1194"/>
      <c r="N37" s="1194"/>
      <c r="O37" s="1194"/>
    </row>
    <row r="38" spans="1:17" ht="14">
      <c r="A38" s="290">
        <v>647</v>
      </c>
      <c r="B38" s="291" t="s">
        <v>134</v>
      </c>
      <c r="C38" s="292"/>
      <c r="D38" s="1167"/>
      <c r="E38" s="319"/>
      <c r="F38" s="317">
        <v>78</v>
      </c>
      <c r="G38" s="291" t="s">
        <v>136</v>
      </c>
      <c r="H38" s="318"/>
      <c r="I38" s="1167"/>
      <c r="J38" s="348"/>
      <c r="K38" s="1022"/>
      <c r="L38" s="1195"/>
      <c r="M38" s="1195"/>
      <c r="N38" s="1195"/>
      <c r="O38" s="1196"/>
    </row>
    <row r="39" spans="1:17" ht="14">
      <c r="A39" s="296">
        <v>648</v>
      </c>
      <c r="B39" s="297" t="s">
        <v>135</v>
      </c>
      <c r="C39" s="301"/>
      <c r="D39" s="1167"/>
      <c r="E39" s="319"/>
      <c r="F39" s="320">
        <v>79</v>
      </c>
      <c r="G39" s="312" t="s">
        <v>138</v>
      </c>
      <c r="H39" s="321"/>
      <c r="I39" s="1167"/>
      <c r="J39" s="344"/>
      <c r="K39" s="1019"/>
      <c r="L39" s="1023"/>
      <c r="M39" s="1024"/>
      <c r="N39" s="1025"/>
      <c r="O39" s="1023"/>
      <c r="P39" s="308"/>
      <c r="Q39" s="308"/>
    </row>
    <row r="40" spans="1:17" ht="14">
      <c r="A40" s="1026"/>
      <c r="B40" s="989" t="s">
        <v>137</v>
      </c>
      <c r="C40" s="990">
        <f>SUM(C36:C39)</f>
        <v>0</v>
      </c>
      <c r="D40" s="1168">
        <v>0</v>
      </c>
      <c r="E40" s="319"/>
      <c r="F40" s="989"/>
      <c r="G40" s="989" t="s">
        <v>140</v>
      </c>
      <c r="H40" s="990">
        <f>SUM(H32:H39)</f>
        <v>72762.23</v>
      </c>
      <c r="I40" s="1185">
        <v>46115.14</v>
      </c>
      <c r="J40" s="348"/>
      <c r="K40" s="1019"/>
      <c r="L40" s="1023"/>
      <c r="M40" s="1025"/>
      <c r="N40" s="1025"/>
      <c r="O40" s="1023"/>
    </row>
    <row r="41" spans="1:17" ht="14">
      <c r="A41" s="980">
        <v>86</v>
      </c>
      <c r="B41" s="998" t="s">
        <v>139</v>
      </c>
      <c r="C41" s="999"/>
      <c r="D41" s="1170"/>
      <c r="E41" s="319"/>
      <c r="F41" s="1027"/>
      <c r="G41" s="1027"/>
      <c r="H41" s="1028"/>
      <c r="I41" s="1188"/>
      <c r="J41" s="349"/>
      <c r="K41" s="1019"/>
      <c r="L41" s="1023"/>
      <c r="M41" s="1025"/>
      <c r="N41" s="1025"/>
      <c r="O41" s="1023"/>
    </row>
    <row r="42" spans="1:17" ht="14">
      <c r="A42" s="983">
        <v>860</v>
      </c>
      <c r="B42" s="1029" t="s">
        <v>141</v>
      </c>
      <c r="C42" s="985"/>
      <c r="D42" s="1167"/>
      <c r="E42" s="319"/>
      <c r="F42" s="981">
        <v>87</v>
      </c>
      <c r="G42" s="1030" t="s">
        <v>142</v>
      </c>
      <c r="H42" s="1031"/>
      <c r="I42" s="1189"/>
      <c r="J42" s="350"/>
      <c r="K42" s="1194"/>
      <c r="L42" s="1023"/>
      <c r="M42" s="1023"/>
      <c r="N42" s="1023"/>
      <c r="O42" s="1023"/>
    </row>
    <row r="43" spans="1:17" ht="14">
      <c r="A43" s="290">
        <v>861</v>
      </c>
      <c r="B43" s="291" t="s">
        <v>143</v>
      </c>
      <c r="C43" s="295"/>
      <c r="D43" s="1167"/>
      <c r="E43" s="319"/>
      <c r="F43" s="1014">
        <v>870</v>
      </c>
      <c r="G43" s="1032" t="s">
        <v>144</v>
      </c>
      <c r="H43" s="1033"/>
      <c r="I43" s="1167">
        <v>10000</v>
      </c>
      <c r="J43" s="350"/>
      <c r="K43" s="1194"/>
      <c r="L43" s="1194"/>
      <c r="M43" s="1194"/>
      <c r="N43" s="1194"/>
      <c r="O43" s="1194"/>
    </row>
    <row r="44" spans="1:17" ht="14">
      <c r="A44" s="290">
        <v>862</v>
      </c>
      <c r="B44" s="291" t="s">
        <v>145</v>
      </c>
      <c r="C44" s="309">
        <f>-+GETPIVOTDATA("COMPTA",'0 BUDGETS 2425'!$I$6,"NATURE",8620,"LIB NATURE","Prestations","CH/PDT","chges")</f>
        <v>1087.5</v>
      </c>
      <c r="D44" s="1167"/>
      <c r="E44" s="319"/>
      <c r="F44" s="317">
        <v>871</v>
      </c>
      <c r="G44" s="322" t="s">
        <v>146</v>
      </c>
      <c r="H44" s="323">
        <f>+GETPIVOTDATA("COMPTA",'0 BUDGETS 2425'!$I$6,"NATURE",8710,"LIB NATURE","Prestations en nature","CH/PDT","pdts")</f>
        <v>1087.5</v>
      </c>
      <c r="I44" s="1167"/>
      <c r="J44" s="350"/>
      <c r="K44" s="1194"/>
      <c r="L44" s="1194"/>
      <c r="M44" s="319"/>
      <c r="N44" s="1194"/>
      <c r="O44" s="1194"/>
    </row>
    <row r="45" spans="1:17" ht="14" customHeight="1">
      <c r="A45" s="296">
        <v>864</v>
      </c>
      <c r="B45" s="297" t="s">
        <v>147</v>
      </c>
      <c r="C45" s="324"/>
      <c r="D45" s="1167">
        <v>10000</v>
      </c>
      <c r="E45" s="319"/>
      <c r="F45" s="320">
        <v>872</v>
      </c>
      <c r="G45" s="297" t="s">
        <v>148</v>
      </c>
      <c r="H45" s="325"/>
      <c r="I45" s="1167"/>
      <c r="J45" s="351"/>
      <c r="K45" s="1194"/>
      <c r="L45" s="1194"/>
      <c r="M45" s="1194"/>
      <c r="N45" s="1194"/>
      <c r="O45" s="1194"/>
    </row>
    <row r="46" spans="1:17" ht="14">
      <c r="A46" s="1034"/>
      <c r="B46" s="1004" t="s">
        <v>149</v>
      </c>
      <c r="C46" s="991">
        <f>SUM(C42:C45)</f>
        <v>1087.5</v>
      </c>
      <c r="D46" s="1168">
        <v>10000</v>
      </c>
      <c r="E46" s="319"/>
      <c r="F46" s="1035"/>
      <c r="G46" s="1004" t="s">
        <v>150</v>
      </c>
      <c r="H46" s="991">
        <f>SUM(H43:H45)</f>
        <v>1087.5</v>
      </c>
      <c r="I46" s="1185">
        <v>10000</v>
      </c>
      <c r="J46" s="352"/>
      <c r="K46" s="1194"/>
      <c r="L46" s="1194"/>
      <c r="M46" s="1194"/>
      <c r="N46" s="1194"/>
      <c r="O46" s="1194"/>
    </row>
    <row r="47" spans="1:17" ht="4.5" customHeight="1">
      <c r="A47" s="1036"/>
      <c r="B47" s="1037"/>
      <c r="C47" s="326"/>
      <c r="D47" s="1173"/>
      <c r="E47" s="327"/>
      <c r="F47" s="1038"/>
      <c r="G47" s="1037"/>
      <c r="H47" s="1039"/>
      <c r="I47" s="1190"/>
      <c r="J47" s="353"/>
    </row>
    <row r="48" spans="1:17" ht="17" customHeight="1" thickBot="1">
      <c r="A48" s="1040"/>
      <c r="B48" s="1041" t="s">
        <v>100</v>
      </c>
      <c r="C48" s="1042">
        <f>C10+C21+C34+C40+C46+H11</f>
        <v>73590.731999999989</v>
      </c>
      <c r="D48" s="1174">
        <v>73479.799999999988</v>
      </c>
      <c r="E48" s="354"/>
      <c r="F48" s="1043"/>
      <c r="G48" s="1041" t="s">
        <v>151</v>
      </c>
      <c r="H48" s="1044">
        <f>H46+H40+H29+H22</f>
        <v>75349.73</v>
      </c>
      <c r="I48" s="1191">
        <v>57435.14</v>
      </c>
      <c r="J48" s="353"/>
    </row>
    <row r="49" spans="1:22" s="34" customFormat="1" ht="15" customHeight="1" thickBot="1">
      <c r="A49" s="328" t="s">
        <v>417</v>
      </c>
      <c r="B49" s="329"/>
      <c r="C49" s="330">
        <f>+H48-C48</f>
        <v>1758.9980000000069</v>
      </c>
      <c r="D49" s="1175">
        <f>+I48-D48</f>
        <v>-16044.659999999989</v>
      </c>
      <c r="E49" s="331"/>
      <c r="F49" s="332"/>
      <c r="G49" s="332"/>
      <c r="H49" s="333"/>
      <c r="I49" s="1192"/>
      <c r="J49" s="355"/>
      <c r="K49" s="33"/>
      <c r="L49" s="33"/>
      <c r="M49" s="33"/>
      <c r="N49" s="33"/>
      <c r="O49" s="33"/>
      <c r="P49" s="33"/>
      <c r="Q49" s="33"/>
    </row>
    <row r="50" spans="1:22" ht="11.5" customHeight="1">
      <c r="A50" s="334"/>
      <c r="B50" s="35"/>
      <c r="F50" s="36"/>
      <c r="G50" s="36"/>
      <c r="H50" s="36"/>
      <c r="I50" s="1193"/>
      <c r="J50" s="357"/>
    </row>
    <row r="51" spans="1:22" ht="14" customHeight="1">
      <c r="J51" s="33"/>
      <c r="T51" s="105"/>
      <c r="U51" s="37"/>
    </row>
    <row r="52" spans="1:22" ht="14" customHeight="1">
      <c r="J52" s="33"/>
      <c r="T52" s="105"/>
      <c r="V52" s="37"/>
    </row>
    <row r="53" spans="1:22" ht="14" customHeight="1">
      <c r="J53" s="33"/>
      <c r="T53" s="105"/>
      <c r="V53" s="37"/>
    </row>
    <row r="54" spans="1:22">
      <c r="J54" s="33"/>
      <c r="T54" s="105"/>
    </row>
    <row r="55" spans="1:22">
      <c r="J55" s="33"/>
      <c r="T55" s="105"/>
    </row>
    <row r="65" spans="15:17">
      <c r="O65" s="34"/>
    </row>
    <row r="66" spans="15:17">
      <c r="P66" s="34"/>
      <c r="Q66" s="34"/>
    </row>
    <row r="68" spans="15:17" ht="13">
      <c r="Q68" s="337"/>
    </row>
    <row r="69" spans="15:17" ht="13">
      <c r="Q69" s="337"/>
    </row>
    <row r="70" spans="15:17" ht="13">
      <c r="Q70" s="337"/>
    </row>
  </sheetData>
  <sheetProtection selectLockedCells="1" selectUnlockedCells="1"/>
  <mergeCells count="4">
    <mergeCell ref="B1:D1"/>
    <mergeCell ref="A2:B2"/>
    <mergeCell ref="A3:B3"/>
    <mergeCell ref="F13:G13"/>
  </mergeCells>
  <pageMargins left="0.19685039370078741" right="0.19685039370078741" top="0.19685039370078741" bottom="0.19685039370078741" header="0.51181102362204722" footer="0.51181102362204722"/>
  <pageSetup paperSize="9" scale="78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8" zoomScaleNormal="100" workbookViewId="0">
      <selection activeCell="F34" sqref="F34:H34"/>
    </sheetView>
  </sheetViews>
  <sheetFormatPr baseColWidth="10" defaultColWidth="10.08203125" defaultRowHeight="27.5" customHeight="1"/>
  <cols>
    <col min="1" max="1" width="51" style="33" customWidth="1"/>
    <col min="2" max="2" width="7.6640625" style="33" customWidth="1"/>
    <col min="3" max="3" width="11.4140625" style="33" customWidth="1"/>
    <col min="4" max="4" width="12.25" style="33" customWidth="1"/>
    <col min="5" max="5" width="9.1640625" style="33" customWidth="1"/>
    <col min="6" max="6" width="14.1640625" style="33" bestFit="1" customWidth="1"/>
    <col min="7" max="7" width="12.33203125" style="33" customWidth="1"/>
    <col min="8" max="8" width="11" style="33" bestFit="1" customWidth="1"/>
    <col min="9" max="249" width="10.08203125" style="33"/>
    <col min="250" max="250" width="51" style="33" customWidth="1"/>
    <col min="251" max="251" width="12.25" style="33" customWidth="1"/>
    <col min="252" max="252" width="10.25" style="33" customWidth="1"/>
    <col min="253" max="253" width="1.6640625" style="33" customWidth="1"/>
    <col min="254" max="254" width="34.08203125" style="33" customWidth="1"/>
    <col min="255" max="255" width="12.25" style="33" customWidth="1"/>
    <col min="256" max="256" width="8.83203125" style="33" customWidth="1"/>
    <col min="257" max="257" width="13.4140625" style="33" customWidth="1"/>
    <col min="258" max="258" width="0.58203125" style="33" customWidth="1"/>
    <col min="259" max="260" width="0" style="33" hidden="1" customWidth="1"/>
    <col min="261" max="261" width="10.08203125" style="33"/>
    <col min="262" max="262" width="14.1640625" style="33" bestFit="1" customWidth="1"/>
    <col min="263" max="263" width="12.33203125" style="33" customWidth="1"/>
    <col min="264" max="264" width="11" style="33" bestFit="1" customWidth="1"/>
    <col min="265" max="505" width="10.08203125" style="33"/>
    <col min="506" max="506" width="51" style="33" customWidth="1"/>
    <col min="507" max="507" width="12.25" style="33" customWidth="1"/>
    <col min="508" max="508" width="10.25" style="33" customWidth="1"/>
    <col min="509" max="509" width="1.6640625" style="33" customWidth="1"/>
    <col min="510" max="510" width="34.08203125" style="33" customWidth="1"/>
    <col min="511" max="511" width="12.25" style="33" customWidth="1"/>
    <col min="512" max="512" width="8.83203125" style="33" customWidth="1"/>
    <col min="513" max="513" width="13.4140625" style="33" customWidth="1"/>
    <col min="514" max="514" width="0.58203125" style="33" customWidth="1"/>
    <col min="515" max="516" width="0" style="33" hidden="1" customWidth="1"/>
    <col min="517" max="517" width="10.08203125" style="33"/>
    <col min="518" max="518" width="14.1640625" style="33" bestFit="1" customWidth="1"/>
    <col min="519" max="519" width="12.33203125" style="33" customWidth="1"/>
    <col min="520" max="520" width="11" style="33" bestFit="1" customWidth="1"/>
    <col min="521" max="761" width="10.08203125" style="33"/>
    <col min="762" max="762" width="51" style="33" customWidth="1"/>
    <col min="763" max="763" width="12.25" style="33" customWidth="1"/>
    <col min="764" max="764" width="10.25" style="33" customWidth="1"/>
    <col min="765" max="765" width="1.6640625" style="33" customWidth="1"/>
    <col min="766" max="766" width="34.08203125" style="33" customWidth="1"/>
    <col min="767" max="767" width="12.25" style="33" customWidth="1"/>
    <col min="768" max="768" width="8.83203125" style="33" customWidth="1"/>
    <col min="769" max="769" width="13.4140625" style="33" customWidth="1"/>
    <col min="770" max="770" width="0.58203125" style="33" customWidth="1"/>
    <col min="771" max="772" width="0" style="33" hidden="1" customWidth="1"/>
    <col min="773" max="773" width="10.08203125" style="33"/>
    <col min="774" max="774" width="14.1640625" style="33" bestFit="1" customWidth="1"/>
    <col min="775" max="775" width="12.33203125" style="33" customWidth="1"/>
    <col min="776" max="776" width="11" style="33" bestFit="1" customWidth="1"/>
    <col min="777" max="1017" width="10.08203125" style="33"/>
    <col min="1018" max="1018" width="51" style="33" customWidth="1"/>
    <col min="1019" max="1019" width="12.25" style="33" customWidth="1"/>
    <col min="1020" max="1020" width="10.25" style="33" customWidth="1"/>
    <col min="1021" max="1021" width="1.6640625" style="33" customWidth="1"/>
    <col min="1022" max="1022" width="34.08203125" style="33" customWidth="1"/>
    <col min="1023" max="1023" width="12.25" style="33" customWidth="1"/>
    <col min="1024" max="1024" width="8.83203125" style="33" customWidth="1"/>
    <col min="1025" max="1025" width="13.4140625" style="33" customWidth="1"/>
    <col min="1026" max="1026" width="0.58203125" style="33" customWidth="1"/>
    <col min="1027" max="1028" width="0" style="33" hidden="1" customWidth="1"/>
    <col min="1029" max="1029" width="10.08203125" style="33"/>
    <col min="1030" max="1030" width="14.1640625" style="33" bestFit="1" customWidth="1"/>
    <col min="1031" max="1031" width="12.33203125" style="33" customWidth="1"/>
    <col min="1032" max="1032" width="11" style="33" bestFit="1" customWidth="1"/>
    <col min="1033" max="1273" width="10.08203125" style="33"/>
    <col min="1274" max="1274" width="51" style="33" customWidth="1"/>
    <col min="1275" max="1275" width="12.25" style="33" customWidth="1"/>
    <col min="1276" max="1276" width="10.25" style="33" customWidth="1"/>
    <col min="1277" max="1277" width="1.6640625" style="33" customWidth="1"/>
    <col min="1278" max="1278" width="34.08203125" style="33" customWidth="1"/>
    <col min="1279" max="1279" width="12.25" style="33" customWidth="1"/>
    <col min="1280" max="1280" width="8.83203125" style="33" customWidth="1"/>
    <col min="1281" max="1281" width="13.4140625" style="33" customWidth="1"/>
    <col min="1282" max="1282" width="0.58203125" style="33" customWidth="1"/>
    <col min="1283" max="1284" width="0" style="33" hidden="1" customWidth="1"/>
    <col min="1285" max="1285" width="10.08203125" style="33"/>
    <col min="1286" max="1286" width="14.1640625" style="33" bestFit="1" customWidth="1"/>
    <col min="1287" max="1287" width="12.33203125" style="33" customWidth="1"/>
    <col min="1288" max="1288" width="11" style="33" bestFit="1" customWidth="1"/>
    <col min="1289" max="1529" width="10.08203125" style="33"/>
    <col min="1530" max="1530" width="51" style="33" customWidth="1"/>
    <col min="1531" max="1531" width="12.25" style="33" customWidth="1"/>
    <col min="1532" max="1532" width="10.25" style="33" customWidth="1"/>
    <col min="1533" max="1533" width="1.6640625" style="33" customWidth="1"/>
    <col min="1534" max="1534" width="34.08203125" style="33" customWidth="1"/>
    <col min="1535" max="1535" width="12.25" style="33" customWidth="1"/>
    <col min="1536" max="1536" width="8.83203125" style="33" customWidth="1"/>
    <col min="1537" max="1537" width="13.4140625" style="33" customWidth="1"/>
    <col min="1538" max="1538" width="0.58203125" style="33" customWidth="1"/>
    <col min="1539" max="1540" width="0" style="33" hidden="1" customWidth="1"/>
    <col min="1541" max="1541" width="10.08203125" style="33"/>
    <col min="1542" max="1542" width="14.1640625" style="33" bestFit="1" customWidth="1"/>
    <col min="1543" max="1543" width="12.33203125" style="33" customWidth="1"/>
    <col min="1544" max="1544" width="11" style="33" bestFit="1" customWidth="1"/>
    <col min="1545" max="1785" width="10.08203125" style="33"/>
    <col min="1786" max="1786" width="51" style="33" customWidth="1"/>
    <col min="1787" max="1787" width="12.25" style="33" customWidth="1"/>
    <col min="1788" max="1788" width="10.25" style="33" customWidth="1"/>
    <col min="1789" max="1789" width="1.6640625" style="33" customWidth="1"/>
    <col min="1790" max="1790" width="34.08203125" style="33" customWidth="1"/>
    <col min="1791" max="1791" width="12.25" style="33" customWidth="1"/>
    <col min="1792" max="1792" width="8.83203125" style="33" customWidth="1"/>
    <col min="1793" max="1793" width="13.4140625" style="33" customWidth="1"/>
    <col min="1794" max="1794" width="0.58203125" style="33" customWidth="1"/>
    <col min="1795" max="1796" width="0" style="33" hidden="1" customWidth="1"/>
    <col min="1797" max="1797" width="10.08203125" style="33"/>
    <col min="1798" max="1798" width="14.1640625" style="33" bestFit="1" customWidth="1"/>
    <col min="1799" max="1799" width="12.33203125" style="33" customWidth="1"/>
    <col min="1800" max="1800" width="11" style="33" bestFit="1" customWidth="1"/>
    <col min="1801" max="2041" width="10.08203125" style="33"/>
    <col min="2042" max="2042" width="51" style="33" customWidth="1"/>
    <col min="2043" max="2043" width="12.25" style="33" customWidth="1"/>
    <col min="2044" max="2044" width="10.25" style="33" customWidth="1"/>
    <col min="2045" max="2045" width="1.6640625" style="33" customWidth="1"/>
    <col min="2046" max="2046" width="34.08203125" style="33" customWidth="1"/>
    <col min="2047" max="2047" width="12.25" style="33" customWidth="1"/>
    <col min="2048" max="2048" width="8.83203125" style="33" customWidth="1"/>
    <col min="2049" max="2049" width="13.4140625" style="33" customWidth="1"/>
    <col min="2050" max="2050" width="0.58203125" style="33" customWidth="1"/>
    <col min="2051" max="2052" width="0" style="33" hidden="1" customWidth="1"/>
    <col min="2053" max="2053" width="10.08203125" style="33"/>
    <col min="2054" max="2054" width="14.1640625" style="33" bestFit="1" customWidth="1"/>
    <col min="2055" max="2055" width="12.33203125" style="33" customWidth="1"/>
    <col min="2056" max="2056" width="11" style="33" bestFit="1" customWidth="1"/>
    <col min="2057" max="2297" width="10.08203125" style="33"/>
    <col min="2298" max="2298" width="51" style="33" customWidth="1"/>
    <col min="2299" max="2299" width="12.25" style="33" customWidth="1"/>
    <col min="2300" max="2300" width="10.25" style="33" customWidth="1"/>
    <col min="2301" max="2301" width="1.6640625" style="33" customWidth="1"/>
    <col min="2302" max="2302" width="34.08203125" style="33" customWidth="1"/>
    <col min="2303" max="2303" width="12.25" style="33" customWidth="1"/>
    <col min="2304" max="2304" width="8.83203125" style="33" customWidth="1"/>
    <col min="2305" max="2305" width="13.4140625" style="33" customWidth="1"/>
    <col min="2306" max="2306" width="0.58203125" style="33" customWidth="1"/>
    <col min="2307" max="2308" width="0" style="33" hidden="1" customWidth="1"/>
    <col min="2309" max="2309" width="10.08203125" style="33"/>
    <col min="2310" max="2310" width="14.1640625" style="33" bestFit="1" customWidth="1"/>
    <col min="2311" max="2311" width="12.33203125" style="33" customWidth="1"/>
    <col min="2312" max="2312" width="11" style="33" bestFit="1" customWidth="1"/>
    <col min="2313" max="2553" width="10.08203125" style="33"/>
    <col min="2554" max="2554" width="51" style="33" customWidth="1"/>
    <col min="2555" max="2555" width="12.25" style="33" customWidth="1"/>
    <col min="2556" max="2556" width="10.25" style="33" customWidth="1"/>
    <col min="2557" max="2557" width="1.6640625" style="33" customWidth="1"/>
    <col min="2558" max="2558" width="34.08203125" style="33" customWidth="1"/>
    <col min="2559" max="2559" width="12.25" style="33" customWidth="1"/>
    <col min="2560" max="2560" width="8.83203125" style="33" customWidth="1"/>
    <col min="2561" max="2561" width="13.4140625" style="33" customWidth="1"/>
    <col min="2562" max="2562" width="0.58203125" style="33" customWidth="1"/>
    <col min="2563" max="2564" width="0" style="33" hidden="1" customWidth="1"/>
    <col min="2565" max="2565" width="10.08203125" style="33"/>
    <col min="2566" max="2566" width="14.1640625" style="33" bestFit="1" customWidth="1"/>
    <col min="2567" max="2567" width="12.33203125" style="33" customWidth="1"/>
    <col min="2568" max="2568" width="11" style="33" bestFit="1" customWidth="1"/>
    <col min="2569" max="2809" width="10.08203125" style="33"/>
    <col min="2810" max="2810" width="51" style="33" customWidth="1"/>
    <col min="2811" max="2811" width="12.25" style="33" customWidth="1"/>
    <col min="2812" max="2812" width="10.25" style="33" customWidth="1"/>
    <col min="2813" max="2813" width="1.6640625" style="33" customWidth="1"/>
    <col min="2814" max="2814" width="34.08203125" style="33" customWidth="1"/>
    <col min="2815" max="2815" width="12.25" style="33" customWidth="1"/>
    <col min="2816" max="2816" width="8.83203125" style="33" customWidth="1"/>
    <col min="2817" max="2817" width="13.4140625" style="33" customWidth="1"/>
    <col min="2818" max="2818" width="0.58203125" style="33" customWidth="1"/>
    <col min="2819" max="2820" width="0" style="33" hidden="1" customWidth="1"/>
    <col min="2821" max="2821" width="10.08203125" style="33"/>
    <col min="2822" max="2822" width="14.1640625" style="33" bestFit="1" customWidth="1"/>
    <col min="2823" max="2823" width="12.33203125" style="33" customWidth="1"/>
    <col min="2824" max="2824" width="11" style="33" bestFit="1" customWidth="1"/>
    <col min="2825" max="3065" width="10.08203125" style="33"/>
    <col min="3066" max="3066" width="51" style="33" customWidth="1"/>
    <col min="3067" max="3067" width="12.25" style="33" customWidth="1"/>
    <col min="3068" max="3068" width="10.25" style="33" customWidth="1"/>
    <col min="3069" max="3069" width="1.6640625" style="33" customWidth="1"/>
    <col min="3070" max="3070" width="34.08203125" style="33" customWidth="1"/>
    <col min="3071" max="3071" width="12.25" style="33" customWidth="1"/>
    <col min="3072" max="3072" width="8.83203125" style="33" customWidth="1"/>
    <col min="3073" max="3073" width="13.4140625" style="33" customWidth="1"/>
    <col min="3074" max="3074" width="0.58203125" style="33" customWidth="1"/>
    <col min="3075" max="3076" width="0" style="33" hidden="1" customWidth="1"/>
    <col min="3077" max="3077" width="10.08203125" style="33"/>
    <col min="3078" max="3078" width="14.1640625" style="33" bestFit="1" customWidth="1"/>
    <col min="3079" max="3079" width="12.33203125" style="33" customWidth="1"/>
    <col min="3080" max="3080" width="11" style="33" bestFit="1" customWidth="1"/>
    <col min="3081" max="3321" width="10.08203125" style="33"/>
    <col min="3322" max="3322" width="51" style="33" customWidth="1"/>
    <col min="3323" max="3323" width="12.25" style="33" customWidth="1"/>
    <col min="3324" max="3324" width="10.25" style="33" customWidth="1"/>
    <col min="3325" max="3325" width="1.6640625" style="33" customWidth="1"/>
    <col min="3326" max="3326" width="34.08203125" style="33" customWidth="1"/>
    <col min="3327" max="3327" width="12.25" style="33" customWidth="1"/>
    <col min="3328" max="3328" width="8.83203125" style="33" customWidth="1"/>
    <col min="3329" max="3329" width="13.4140625" style="33" customWidth="1"/>
    <col min="3330" max="3330" width="0.58203125" style="33" customWidth="1"/>
    <col min="3331" max="3332" width="0" style="33" hidden="1" customWidth="1"/>
    <col min="3333" max="3333" width="10.08203125" style="33"/>
    <col min="3334" max="3334" width="14.1640625" style="33" bestFit="1" customWidth="1"/>
    <col min="3335" max="3335" width="12.33203125" style="33" customWidth="1"/>
    <col min="3336" max="3336" width="11" style="33" bestFit="1" customWidth="1"/>
    <col min="3337" max="3577" width="10.08203125" style="33"/>
    <col min="3578" max="3578" width="51" style="33" customWidth="1"/>
    <col min="3579" max="3579" width="12.25" style="33" customWidth="1"/>
    <col min="3580" max="3580" width="10.25" style="33" customWidth="1"/>
    <col min="3581" max="3581" width="1.6640625" style="33" customWidth="1"/>
    <col min="3582" max="3582" width="34.08203125" style="33" customWidth="1"/>
    <col min="3583" max="3583" width="12.25" style="33" customWidth="1"/>
    <col min="3584" max="3584" width="8.83203125" style="33" customWidth="1"/>
    <col min="3585" max="3585" width="13.4140625" style="33" customWidth="1"/>
    <col min="3586" max="3586" width="0.58203125" style="33" customWidth="1"/>
    <col min="3587" max="3588" width="0" style="33" hidden="1" customWidth="1"/>
    <col min="3589" max="3589" width="10.08203125" style="33"/>
    <col min="3590" max="3590" width="14.1640625" style="33" bestFit="1" customWidth="1"/>
    <col min="3591" max="3591" width="12.33203125" style="33" customWidth="1"/>
    <col min="3592" max="3592" width="11" style="33" bestFit="1" customWidth="1"/>
    <col min="3593" max="3833" width="10.08203125" style="33"/>
    <col min="3834" max="3834" width="51" style="33" customWidth="1"/>
    <col min="3835" max="3835" width="12.25" style="33" customWidth="1"/>
    <col min="3836" max="3836" width="10.25" style="33" customWidth="1"/>
    <col min="3837" max="3837" width="1.6640625" style="33" customWidth="1"/>
    <col min="3838" max="3838" width="34.08203125" style="33" customWidth="1"/>
    <col min="3839" max="3839" width="12.25" style="33" customWidth="1"/>
    <col min="3840" max="3840" width="8.83203125" style="33" customWidth="1"/>
    <col min="3841" max="3841" width="13.4140625" style="33" customWidth="1"/>
    <col min="3842" max="3842" width="0.58203125" style="33" customWidth="1"/>
    <col min="3843" max="3844" width="0" style="33" hidden="1" customWidth="1"/>
    <col min="3845" max="3845" width="10.08203125" style="33"/>
    <col min="3846" max="3846" width="14.1640625" style="33" bestFit="1" customWidth="1"/>
    <col min="3847" max="3847" width="12.33203125" style="33" customWidth="1"/>
    <col min="3848" max="3848" width="11" style="33" bestFit="1" customWidth="1"/>
    <col min="3849" max="4089" width="10.08203125" style="33"/>
    <col min="4090" max="4090" width="51" style="33" customWidth="1"/>
    <col min="4091" max="4091" width="12.25" style="33" customWidth="1"/>
    <col min="4092" max="4092" width="10.25" style="33" customWidth="1"/>
    <col min="4093" max="4093" width="1.6640625" style="33" customWidth="1"/>
    <col min="4094" max="4094" width="34.08203125" style="33" customWidth="1"/>
    <col min="4095" max="4095" width="12.25" style="33" customWidth="1"/>
    <col min="4096" max="4096" width="8.83203125" style="33" customWidth="1"/>
    <col min="4097" max="4097" width="13.4140625" style="33" customWidth="1"/>
    <col min="4098" max="4098" width="0.58203125" style="33" customWidth="1"/>
    <col min="4099" max="4100" width="0" style="33" hidden="1" customWidth="1"/>
    <col min="4101" max="4101" width="10.08203125" style="33"/>
    <col min="4102" max="4102" width="14.1640625" style="33" bestFit="1" customWidth="1"/>
    <col min="4103" max="4103" width="12.33203125" style="33" customWidth="1"/>
    <col min="4104" max="4104" width="11" style="33" bestFit="1" customWidth="1"/>
    <col min="4105" max="4345" width="10.08203125" style="33"/>
    <col min="4346" max="4346" width="51" style="33" customWidth="1"/>
    <col min="4347" max="4347" width="12.25" style="33" customWidth="1"/>
    <col min="4348" max="4348" width="10.25" style="33" customWidth="1"/>
    <col min="4349" max="4349" width="1.6640625" style="33" customWidth="1"/>
    <col min="4350" max="4350" width="34.08203125" style="33" customWidth="1"/>
    <col min="4351" max="4351" width="12.25" style="33" customWidth="1"/>
    <col min="4352" max="4352" width="8.83203125" style="33" customWidth="1"/>
    <col min="4353" max="4353" width="13.4140625" style="33" customWidth="1"/>
    <col min="4354" max="4354" width="0.58203125" style="33" customWidth="1"/>
    <col min="4355" max="4356" width="0" style="33" hidden="1" customWidth="1"/>
    <col min="4357" max="4357" width="10.08203125" style="33"/>
    <col min="4358" max="4358" width="14.1640625" style="33" bestFit="1" customWidth="1"/>
    <col min="4359" max="4359" width="12.33203125" style="33" customWidth="1"/>
    <col min="4360" max="4360" width="11" style="33" bestFit="1" customWidth="1"/>
    <col min="4361" max="4601" width="10.08203125" style="33"/>
    <col min="4602" max="4602" width="51" style="33" customWidth="1"/>
    <col min="4603" max="4603" width="12.25" style="33" customWidth="1"/>
    <col min="4604" max="4604" width="10.25" style="33" customWidth="1"/>
    <col min="4605" max="4605" width="1.6640625" style="33" customWidth="1"/>
    <col min="4606" max="4606" width="34.08203125" style="33" customWidth="1"/>
    <col min="4607" max="4607" width="12.25" style="33" customWidth="1"/>
    <col min="4608" max="4608" width="8.83203125" style="33" customWidth="1"/>
    <col min="4609" max="4609" width="13.4140625" style="33" customWidth="1"/>
    <col min="4610" max="4610" width="0.58203125" style="33" customWidth="1"/>
    <col min="4611" max="4612" width="0" style="33" hidden="1" customWidth="1"/>
    <col min="4613" max="4613" width="10.08203125" style="33"/>
    <col min="4614" max="4614" width="14.1640625" style="33" bestFit="1" customWidth="1"/>
    <col min="4615" max="4615" width="12.33203125" style="33" customWidth="1"/>
    <col min="4616" max="4616" width="11" style="33" bestFit="1" customWidth="1"/>
    <col min="4617" max="4857" width="10.08203125" style="33"/>
    <col min="4858" max="4858" width="51" style="33" customWidth="1"/>
    <col min="4859" max="4859" width="12.25" style="33" customWidth="1"/>
    <col min="4860" max="4860" width="10.25" style="33" customWidth="1"/>
    <col min="4861" max="4861" width="1.6640625" style="33" customWidth="1"/>
    <col min="4862" max="4862" width="34.08203125" style="33" customWidth="1"/>
    <col min="4863" max="4863" width="12.25" style="33" customWidth="1"/>
    <col min="4864" max="4864" width="8.83203125" style="33" customWidth="1"/>
    <col min="4865" max="4865" width="13.4140625" style="33" customWidth="1"/>
    <col min="4866" max="4866" width="0.58203125" style="33" customWidth="1"/>
    <col min="4867" max="4868" width="0" style="33" hidden="1" customWidth="1"/>
    <col min="4869" max="4869" width="10.08203125" style="33"/>
    <col min="4870" max="4870" width="14.1640625" style="33" bestFit="1" customWidth="1"/>
    <col min="4871" max="4871" width="12.33203125" style="33" customWidth="1"/>
    <col min="4872" max="4872" width="11" style="33" bestFit="1" customWidth="1"/>
    <col min="4873" max="5113" width="10.08203125" style="33"/>
    <col min="5114" max="5114" width="51" style="33" customWidth="1"/>
    <col min="5115" max="5115" width="12.25" style="33" customWidth="1"/>
    <col min="5116" max="5116" width="10.25" style="33" customWidth="1"/>
    <col min="5117" max="5117" width="1.6640625" style="33" customWidth="1"/>
    <col min="5118" max="5118" width="34.08203125" style="33" customWidth="1"/>
    <col min="5119" max="5119" width="12.25" style="33" customWidth="1"/>
    <col min="5120" max="5120" width="8.83203125" style="33" customWidth="1"/>
    <col min="5121" max="5121" width="13.4140625" style="33" customWidth="1"/>
    <col min="5122" max="5122" width="0.58203125" style="33" customWidth="1"/>
    <col min="5123" max="5124" width="0" style="33" hidden="1" customWidth="1"/>
    <col min="5125" max="5125" width="10.08203125" style="33"/>
    <col min="5126" max="5126" width="14.1640625" style="33" bestFit="1" customWidth="1"/>
    <col min="5127" max="5127" width="12.33203125" style="33" customWidth="1"/>
    <col min="5128" max="5128" width="11" style="33" bestFit="1" customWidth="1"/>
    <col min="5129" max="5369" width="10.08203125" style="33"/>
    <col min="5370" max="5370" width="51" style="33" customWidth="1"/>
    <col min="5371" max="5371" width="12.25" style="33" customWidth="1"/>
    <col min="5372" max="5372" width="10.25" style="33" customWidth="1"/>
    <col min="5373" max="5373" width="1.6640625" style="33" customWidth="1"/>
    <col min="5374" max="5374" width="34.08203125" style="33" customWidth="1"/>
    <col min="5375" max="5375" width="12.25" style="33" customWidth="1"/>
    <col min="5376" max="5376" width="8.83203125" style="33" customWidth="1"/>
    <col min="5377" max="5377" width="13.4140625" style="33" customWidth="1"/>
    <col min="5378" max="5378" width="0.58203125" style="33" customWidth="1"/>
    <col min="5379" max="5380" width="0" style="33" hidden="1" customWidth="1"/>
    <col min="5381" max="5381" width="10.08203125" style="33"/>
    <col min="5382" max="5382" width="14.1640625" style="33" bestFit="1" customWidth="1"/>
    <col min="5383" max="5383" width="12.33203125" style="33" customWidth="1"/>
    <col min="5384" max="5384" width="11" style="33" bestFit="1" customWidth="1"/>
    <col min="5385" max="5625" width="10.08203125" style="33"/>
    <col min="5626" max="5626" width="51" style="33" customWidth="1"/>
    <col min="5627" max="5627" width="12.25" style="33" customWidth="1"/>
    <col min="5628" max="5628" width="10.25" style="33" customWidth="1"/>
    <col min="5629" max="5629" width="1.6640625" style="33" customWidth="1"/>
    <col min="5630" max="5630" width="34.08203125" style="33" customWidth="1"/>
    <col min="5631" max="5631" width="12.25" style="33" customWidth="1"/>
    <col min="5632" max="5632" width="8.83203125" style="33" customWidth="1"/>
    <col min="5633" max="5633" width="13.4140625" style="33" customWidth="1"/>
    <col min="5634" max="5634" width="0.58203125" style="33" customWidth="1"/>
    <col min="5635" max="5636" width="0" style="33" hidden="1" customWidth="1"/>
    <col min="5637" max="5637" width="10.08203125" style="33"/>
    <col min="5638" max="5638" width="14.1640625" style="33" bestFit="1" customWidth="1"/>
    <col min="5639" max="5639" width="12.33203125" style="33" customWidth="1"/>
    <col min="5640" max="5640" width="11" style="33" bestFit="1" customWidth="1"/>
    <col min="5641" max="5881" width="10.08203125" style="33"/>
    <col min="5882" max="5882" width="51" style="33" customWidth="1"/>
    <col min="5883" max="5883" width="12.25" style="33" customWidth="1"/>
    <col min="5884" max="5884" width="10.25" style="33" customWidth="1"/>
    <col min="5885" max="5885" width="1.6640625" style="33" customWidth="1"/>
    <col min="5886" max="5886" width="34.08203125" style="33" customWidth="1"/>
    <col min="5887" max="5887" width="12.25" style="33" customWidth="1"/>
    <col min="5888" max="5888" width="8.83203125" style="33" customWidth="1"/>
    <col min="5889" max="5889" width="13.4140625" style="33" customWidth="1"/>
    <col min="5890" max="5890" width="0.58203125" style="33" customWidth="1"/>
    <col min="5891" max="5892" width="0" style="33" hidden="1" customWidth="1"/>
    <col min="5893" max="5893" width="10.08203125" style="33"/>
    <col min="5894" max="5894" width="14.1640625" style="33" bestFit="1" customWidth="1"/>
    <col min="5895" max="5895" width="12.33203125" style="33" customWidth="1"/>
    <col min="5896" max="5896" width="11" style="33" bestFit="1" customWidth="1"/>
    <col min="5897" max="6137" width="10.08203125" style="33"/>
    <col min="6138" max="6138" width="51" style="33" customWidth="1"/>
    <col min="6139" max="6139" width="12.25" style="33" customWidth="1"/>
    <col min="6140" max="6140" width="10.25" style="33" customWidth="1"/>
    <col min="6141" max="6141" width="1.6640625" style="33" customWidth="1"/>
    <col min="6142" max="6142" width="34.08203125" style="33" customWidth="1"/>
    <col min="6143" max="6143" width="12.25" style="33" customWidth="1"/>
    <col min="6144" max="6144" width="8.83203125" style="33" customWidth="1"/>
    <col min="6145" max="6145" width="13.4140625" style="33" customWidth="1"/>
    <col min="6146" max="6146" width="0.58203125" style="33" customWidth="1"/>
    <col min="6147" max="6148" width="0" style="33" hidden="1" customWidth="1"/>
    <col min="6149" max="6149" width="10.08203125" style="33"/>
    <col min="6150" max="6150" width="14.1640625" style="33" bestFit="1" customWidth="1"/>
    <col min="6151" max="6151" width="12.33203125" style="33" customWidth="1"/>
    <col min="6152" max="6152" width="11" style="33" bestFit="1" customWidth="1"/>
    <col min="6153" max="6393" width="10.08203125" style="33"/>
    <col min="6394" max="6394" width="51" style="33" customWidth="1"/>
    <col min="6395" max="6395" width="12.25" style="33" customWidth="1"/>
    <col min="6396" max="6396" width="10.25" style="33" customWidth="1"/>
    <col min="6397" max="6397" width="1.6640625" style="33" customWidth="1"/>
    <col min="6398" max="6398" width="34.08203125" style="33" customWidth="1"/>
    <col min="6399" max="6399" width="12.25" style="33" customWidth="1"/>
    <col min="6400" max="6400" width="8.83203125" style="33" customWidth="1"/>
    <col min="6401" max="6401" width="13.4140625" style="33" customWidth="1"/>
    <col min="6402" max="6402" width="0.58203125" style="33" customWidth="1"/>
    <col min="6403" max="6404" width="0" style="33" hidden="1" customWidth="1"/>
    <col min="6405" max="6405" width="10.08203125" style="33"/>
    <col min="6406" max="6406" width="14.1640625" style="33" bestFit="1" customWidth="1"/>
    <col min="6407" max="6407" width="12.33203125" style="33" customWidth="1"/>
    <col min="6408" max="6408" width="11" style="33" bestFit="1" customWidth="1"/>
    <col min="6409" max="6649" width="10.08203125" style="33"/>
    <col min="6650" max="6650" width="51" style="33" customWidth="1"/>
    <col min="6651" max="6651" width="12.25" style="33" customWidth="1"/>
    <col min="6652" max="6652" width="10.25" style="33" customWidth="1"/>
    <col min="6653" max="6653" width="1.6640625" style="33" customWidth="1"/>
    <col min="6654" max="6654" width="34.08203125" style="33" customWidth="1"/>
    <col min="6655" max="6655" width="12.25" style="33" customWidth="1"/>
    <col min="6656" max="6656" width="8.83203125" style="33" customWidth="1"/>
    <col min="6657" max="6657" width="13.4140625" style="33" customWidth="1"/>
    <col min="6658" max="6658" width="0.58203125" style="33" customWidth="1"/>
    <col min="6659" max="6660" width="0" style="33" hidden="1" customWidth="1"/>
    <col min="6661" max="6661" width="10.08203125" style="33"/>
    <col min="6662" max="6662" width="14.1640625" style="33" bestFit="1" customWidth="1"/>
    <col min="6663" max="6663" width="12.33203125" style="33" customWidth="1"/>
    <col min="6664" max="6664" width="11" style="33" bestFit="1" customWidth="1"/>
    <col min="6665" max="6905" width="10.08203125" style="33"/>
    <col min="6906" max="6906" width="51" style="33" customWidth="1"/>
    <col min="6907" max="6907" width="12.25" style="33" customWidth="1"/>
    <col min="6908" max="6908" width="10.25" style="33" customWidth="1"/>
    <col min="6909" max="6909" width="1.6640625" style="33" customWidth="1"/>
    <col min="6910" max="6910" width="34.08203125" style="33" customWidth="1"/>
    <col min="6911" max="6911" width="12.25" style="33" customWidth="1"/>
    <col min="6912" max="6912" width="8.83203125" style="33" customWidth="1"/>
    <col min="6913" max="6913" width="13.4140625" style="33" customWidth="1"/>
    <col min="6914" max="6914" width="0.58203125" style="33" customWidth="1"/>
    <col min="6915" max="6916" width="0" style="33" hidden="1" customWidth="1"/>
    <col min="6917" max="6917" width="10.08203125" style="33"/>
    <col min="6918" max="6918" width="14.1640625" style="33" bestFit="1" customWidth="1"/>
    <col min="6919" max="6919" width="12.33203125" style="33" customWidth="1"/>
    <col min="6920" max="6920" width="11" style="33" bestFit="1" customWidth="1"/>
    <col min="6921" max="7161" width="10.08203125" style="33"/>
    <col min="7162" max="7162" width="51" style="33" customWidth="1"/>
    <col min="7163" max="7163" width="12.25" style="33" customWidth="1"/>
    <col min="7164" max="7164" width="10.25" style="33" customWidth="1"/>
    <col min="7165" max="7165" width="1.6640625" style="33" customWidth="1"/>
    <col min="7166" max="7166" width="34.08203125" style="33" customWidth="1"/>
    <col min="7167" max="7167" width="12.25" style="33" customWidth="1"/>
    <col min="7168" max="7168" width="8.83203125" style="33" customWidth="1"/>
    <col min="7169" max="7169" width="13.4140625" style="33" customWidth="1"/>
    <col min="7170" max="7170" width="0.58203125" style="33" customWidth="1"/>
    <col min="7171" max="7172" width="0" style="33" hidden="1" customWidth="1"/>
    <col min="7173" max="7173" width="10.08203125" style="33"/>
    <col min="7174" max="7174" width="14.1640625" style="33" bestFit="1" customWidth="1"/>
    <col min="7175" max="7175" width="12.33203125" style="33" customWidth="1"/>
    <col min="7176" max="7176" width="11" style="33" bestFit="1" customWidth="1"/>
    <col min="7177" max="7417" width="10.08203125" style="33"/>
    <col min="7418" max="7418" width="51" style="33" customWidth="1"/>
    <col min="7419" max="7419" width="12.25" style="33" customWidth="1"/>
    <col min="7420" max="7420" width="10.25" style="33" customWidth="1"/>
    <col min="7421" max="7421" width="1.6640625" style="33" customWidth="1"/>
    <col min="7422" max="7422" width="34.08203125" style="33" customWidth="1"/>
    <col min="7423" max="7423" width="12.25" style="33" customWidth="1"/>
    <col min="7424" max="7424" width="8.83203125" style="33" customWidth="1"/>
    <col min="7425" max="7425" width="13.4140625" style="33" customWidth="1"/>
    <col min="7426" max="7426" width="0.58203125" style="33" customWidth="1"/>
    <col min="7427" max="7428" width="0" style="33" hidden="1" customWidth="1"/>
    <col min="7429" max="7429" width="10.08203125" style="33"/>
    <col min="7430" max="7430" width="14.1640625" style="33" bestFit="1" customWidth="1"/>
    <col min="7431" max="7431" width="12.33203125" style="33" customWidth="1"/>
    <col min="7432" max="7432" width="11" style="33" bestFit="1" customWidth="1"/>
    <col min="7433" max="7673" width="10.08203125" style="33"/>
    <col min="7674" max="7674" width="51" style="33" customWidth="1"/>
    <col min="7675" max="7675" width="12.25" style="33" customWidth="1"/>
    <col min="7676" max="7676" width="10.25" style="33" customWidth="1"/>
    <col min="7677" max="7677" width="1.6640625" style="33" customWidth="1"/>
    <col min="7678" max="7678" width="34.08203125" style="33" customWidth="1"/>
    <col min="7679" max="7679" width="12.25" style="33" customWidth="1"/>
    <col min="7680" max="7680" width="8.83203125" style="33" customWidth="1"/>
    <col min="7681" max="7681" width="13.4140625" style="33" customWidth="1"/>
    <col min="7682" max="7682" width="0.58203125" style="33" customWidth="1"/>
    <col min="7683" max="7684" width="0" style="33" hidden="1" customWidth="1"/>
    <col min="7685" max="7685" width="10.08203125" style="33"/>
    <col min="7686" max="7686" width="14.1640625" style="33" bestFit="1" customWidth="1"/>
    <col min="7687" max="7687" width="12.33203125" style="33" customWidth="1"/>
    <col min="7688" max="7688" width="11" style="33" bestFit="1" customWidth="1"/>
    <col min="7689" max="7929" width="10.08203125" style="33"/>
    <col min="7930" max="7930" width="51" style="33" customWidth="1"/>
    <col min="7931" max="7931" width="12.25" style="33" customWidth="1"/>
    <col min="7932" max="7932" width="10.25" style="33" customWidth="1"/>
    <col min="7933" max="7933" width="1.6640625" style="33" customWidth="1"/>
    <col min="7934" max="7934" width="34.08203125" style="33" customWidth="1"/>
    <col min="7935" max="7935" width="12.25" style="33" customWidth="1"/>
    <col min="7936" max="7936" width="8.83203125" style="33" customWidth="1"/>
    <col min="7937" max="7937" width="13.4140625" style="33" customWidth="1"/>
    <col min="7938" max="7938" width="0.58203125" style="33" customWidth="1"/>
    <col min="7939" max="7940" width="0" style="33" hidden="1" customWidth="1"/>
    <col min="7941" max="7941" width="10.08203125" style="33"/>
    <col min="7942" max="7942" width="14.1640625" style="33" bestFit="1" customWidth="1"/>
    <col min="7943" max="7943" width="12.33203125" style="33" customWidth="1"/>
    <col min="7944" max="7944" width="11" style="33" bestFit="1" customWidth="1"/>
    <col min="7945" max="8185" width="10.08203125" style="33"/>
    <col min="8186" max="8186" width="51" style="33" customWidth="1"/>
    <col min="8187" max="8187" width="12.25" style="33" customWidth="1"/>
    <col min="8188" max="8188" width="10.25" style="33" customWidth="1"/>
    <col min="8189" max="8189" width="1.6640625" style="33" customWidth="1"/>
    <col min="8190" max="8190" width="34.08203125" style="33" customWidth="1"/>
    <col min="8191" max="8191" width="12.25" style="33" customWidth="1"/>
    <col min="8192" max="8192" width="8.83203125" style="33" customWidth="1"/>
    <col min="8193" max="8193" width="13.4140625" style="33" customWidth="1"/>
    <col min="8194" max="8194" width="0.58203125" style="33" customWidth="1"/>
    <col min="8195" max="8196" width="0" style="33" hidden="1" customWidth="1"/>
    <col min="8197" max="8197" width="10.08203125" style="33"/>
    <col min="8198" max="8198" width="14.1640625" style="33" bestFit="1" customWidth="1"/>
    <col min="8199" max="8199" width="12.33203125" style="33" customWidth="1"/>
    <col min="8200" max="8200" width="11" style="33" bestFit="1" customWidth="1"/>
    <col min="8201" max="8441" width="10.08203125" style="33"/>
    <col min="8442" max="8442" width="51" style="33" customWidth="1"/>
    <col min="8443" max="8443" width="12.25" style="33" customWidth="1"/>
    <col min="8444" max="8444" width="10.25" style="33" customWidth="1"/>
    <col min="8445" max="8445" width="1.6640625" style="33" customWidth="1"/>
    <col min="8446" max="8446" width="34.08203125" style="33" customWidth="1"/>
    <col min="8447" max="8447" width="12.25" style="33" customWidth="1"/>
    <col min="8448" max="8448" width="8.83203125" style="33" customWidth="1"/>
    <col min="8449" max="8449" width="13.4140625" style="33" customWidth="1"/>
    <col min="8450" max="8450" width="0.58203125" style="33" customWidth="1"/>
    <col min="8451" max="8452" width="0" style="33" hidden="1" customWidth="1"/>
    <col min="8453" max="8453" width="10.08203125" style="33"/>
    <col min="8454" max="8454" width="14.1640625" style="33" bestFit="1" customWidth="1"/>
    <col min="8455" max="8455" width="12.33203125" style="33" customWidth="1"/>
    <col min="8456" max="8456" width="11" style="33" bestFit="1" customWidth="1"/>
    <col min="8457" max="8697" width="10.08203125" style="33"/>
    <col min="8698" max="8698" width="51" style="33" customWidth="1"/>
    <col min="8699" max="8699" width="12.25" style="33" customWidth="1"/>
    <col min="8700" max="8700" width="10.25" style="33" customWidth="1"/>
    <col min="8701" max="8701" width="1.6640625" style="33" customWidth="1"/>
    <col min="8702" max="8702" width="34.08203125" style="33" customWidth="1"/>
    <col min="8703" max="8703" width="12.25" style="33" customWidth="1"/>
    <col min="8704" max="8704" width="8.83203125" style="33" customWidth="1"/>
    <col min="8705" max="8705" width="13.4140625" style="33" customWidth="1"/>
    <col min="8706" max="8706" width="0.58203125" style="33" customWidth="1"/>
    <col min="8707" max="8708" width="0" style="33" hidden="1" customWidth="1"/>
    <col min="8709" max="8709" width="10.08203125" style="33"/>
    <col min="8710" max="8710" width="14.1640625" style="33" bestFit="1" customWidth="1"/>
    <col min="8711" max="8711" width="12.33203125" style="33" customWidth="1"/>
    <col min="8712" max="8712" width="11" style="33" bestFit="1" customWidth="1"/>
    <col min="8713" max="8953" width="10.08203125" style="33"/>
    <col min="8954" max="8954" width="51" style="33" customWidth="1"/>
    <col min="8955" max="8955" width="12.25" style="33" customWidth="1"/>
    <col min="8956" max="8956" width="10.25" style="33" customWidth="1"/>
    <col min="8957" max="8957" width="1.6640625" style="33" customWidth="1"/>
    <col min="8958" max="8958" width="34.08203125" style="33" customWidth="1"/>
    <col min="8959" max="8959" width="12.25" style="33" customWidth="1"/>
    <col min="8960" max="8960" width="8.83203125" style="33" customWidth="1"/>
    <col min="8961" max="8961" width="13.4140625" style="33" customWidth="1"/>
    <col min="8962" max="8962" width="0.58203125" style="33" customWidth="1"/>
    <col min="8963" max="8964" width="0" style="33" hidden="1" customWidth="1"/>
    <col min="8965" max="8965" width="10.08203125" style="33"/>
    <col min="8966" max="8966" width="14.1640625" style="33" bestFit="1" customWidth="1"/>
    <col min="8967" max="8967" width="12.33203125" style="33" customWidth="1"/>
    <col min="8968" max="8968" width="11" style="33" bestFit="1" customWidth="1"/>
    <col min="8969" max="9209" width="10.08203125" style="33"/>
    <col min="9210" max="9210" width="51" style="33" customWidth="1"/>
    <col min="9211" max="9211" width="12.25" style="33" customWidth="1"/>
    <col min="9212" max="9212" width="10.25" style="33" customWidth="1"/>
    <col min="9213" max="9213" width="1.6640625" style="33" customWidth="1"/>
    <col min="9214" max="9214" width="34.08203125" style="33" customWidth="1"/>
    <col min="9215" max="9215" width="12.25" style="33" customWidth="1"/>
    <col min="9216" max="9216" width="8.83203125" style="33" customWidth="1"/>
    <col min="9217" max="9217" width="13.4140625" style="33" customWidth="1"/>
    <col min="9218" max="9218" width="0.58203125" style="33" customWidth="1"/>
    <col min="9219" max="9220" width="0" style="33" hidden="1" customWidth="1"/>
    <col min="9221" max="9221" width="10.08203125" style="33"/>
    <col min="9222" max="9222" width="14.1640625" style="33" bestFit="1" customWidth="1"/>
    <col min="9223" max="9223" width="12.33203125" style="33" customWidth="1"/>
    <col min="9224" max="9224" width="11" style="33" bestFit="1" customWidth="1"/>
    <col min="9225" max="9465" width="10.08203125" style="33"/>
    <col min="9466" max="9466" width="51" style="33" customWidth="1"/>
    <col min="9467" max="9467" width="12.25" style="33" customWidth="1"/>
    <col min="9468" max="9468" width="10.25" style="33" customWidth="1"/>
    <col min="9469" max="9469" width="1.6640625" style="33" customWidth="1"/>
    <col min="9470" max="9470" width="34.08203125" style="33" customWidth="1"/>
    <col min="9471" max="9471" width="12.25" style="33" customWidth="1"/>
    <col min="9472" max="9472" width="8.83203125" style="33" customWidth="1"/>
    <col min="9473" max="9473" width="13.4140625" style="33" customWidth="1"/>
    <col min="9474" max="9474" width="0.58203125" style="33" customWidth="1"/>
    <col min="9475" max="9476" width="0" style="33" hidden="1" customWidth="1"/>
    <col min="9477" max="9477" width="10.08203125" style="33"/>
    <col min="9478" max="9478" width="14.1640625" style="33" bestFit="1" customWidth="1"/>
    <col min="9479" max="9479" width="12.33203125" style="33" customWidth="1"/>
    <col min="9480" max="9480" width="11" style="33" bestFit="1" customWidth="1"/>
    <col min="9481" max="9721" width="10.08203125" style="33"/>
    <col min="9722" max="9722" width="51" style="33" customWidth="1"/>
    <col min="9723" max="9723" width="12.25" style="33" customWidth="1"/>
    <col min="9724" max="9724" width="10.25" style="33" customWidth="1"/>
    <col min="9725" max="9725" width="1.6640625" style="33" customWidth="1"/>
    <col min="9726" max="9726" width="34.08203125" style="33" customWidth="1"/>
    <col min="9727" max="9727" width="12.25" style="33" customWidth="1"/>
    <col min="9728" max="9728" width="8.83203125" style="33" customWidth="1"/>
    <col min="9729" max="9729" width="13.4140625" style="33" customWidth="1"/>
    <col min="9730" max="9730" width="0.58203125" style="33" customWidth="1"/>
    <col min="9731" max="9732" width="0" style="33" hidden="1" customWidth="1"/>
    <col min="9733" max="9733" width="10.08203125" style="33"/>
    <col min="9734" max="9734" width="14.1640625" style="33" bestFit="1" customWidth="1"/>
    <col min="9735" max="9735" width="12.33203125" style="33" customWidth="1"/>
    <col min="9736" max="9736" width="11" style="33" bestFit="1" customWidth="1"/>
    <col min="9737" max="9977" width="10.08203125" style="33"/>
    <col min="9978" max="9978" width="51" style="33" customWidth="1"/>
    <col min="9979" max="9979" width="12.25" style="33" customWidth="1"/>
    <col min="9980" max="9980" width="10.25" style="33" customWidth="1"/>
    <col min="9981" max="9981" width="1.6640625" style="33" customWidth="1"/>
    <col min="9982" max="9982" width="34.08203125" style="33" customWidth="1"/>
    <col min="9983" max="9983" width="12.25" style="33" customWidth="1"/>
    <col min="9984" max="9984" width="8.83203125" style="33" customWidth="1"/>
    <col min="9985" max="9985" width="13.4140625" style="33" customWidth="1"/>
    <col min="9986" max="9986" width="0.58203125" style="33" customWidth="1"/>
    <col min="9987" max="9988" width="0" style="33" hidden="1" customWidth="1"/>
    <col min="9989" max="9989" width="10.08203125" style="33"/>
    <col min="9990" max="9990" width="14.1640625" style="33" bestFit="1" customWidth="1"/>
    <col min="9991" max="9991" width="12.33203125" style="33" customWidth="1"/>
    <col min="9992" max="9992" width="11" style="33" bestFit="1" customWidth="1"/>
    <col min="9993" max="10233" width="10.08203125" style="33"/>
    <col min="10234" max="10234" width="51" style="33" customWidth="1"/>
    <col min="10235" max="10235" width="12.25" style="33" customWidth="1"/>
    <col min="10236" max="10236" width="10.25" style="33" customWidth="1"/>
    <col min="10237" max="10237" width="1.6640625" style="33" customWidth="1"/>
    <col min="10238" max="10238" width="34.08203125" style="33" customWidth="1"/>
    <col min="10239" max="10239" width="12.25" style="33" customWidth="1"/>
    <col min="10240" max="10240" width="8.83203125" style="33" customWidth="1"/>
    <col min="10241" max="10241" width="13.4140625" style="33" customWidth="1"/>
    <col min="10242" max="10242" width="0.58203125" style="33" customWidth="1"/>
    <col min="10243" max="10244" width="0" style="33" hidden="1" customWidth="1"/>
    <col min="10245" max="10245" width="10.08203125" style="33"/>
    <col min="10246" max="10246" width="14.1640625" style="33" bestFit="1" customWidth="1"/>
    <col min="10247" max="10247" width="12.33203125" style="33" customWidth="1"/>
    <col min="10248" max="10248" width="11" style="33" bestFit="1" customWidth="1"/>
    <col min="10249" max="10489" width="10.08203125" style="33"/>
    <col min="10490" max="10490" width="51" style="33" customWidth="1"/>
    <col min="10491" max="10491" width="12.25" style="33" customWidth="1"/>
    <col min="10492" max="10492" width="10.25" style="33" customWidth="1"/>
    <col min="10493" max="10493" width="1.6640625" style="33" customWidth="1"/>
    <col min="10494" max="10494" width="34.08203125" style="33" customWidth="1"/>
    <col min="10495" max="10495" width="12.25" style="33" customWidth="1"/>
    <col min="10496" max="10496" width="8.83203125" style="33" customWidth="1"/>
    <col min="10497" max="10497" width="13.4140625" style="33" customWidth="1"/>
    <col min="10498" max="10498" width="0.58203125" style="33" customWidth="1"/>
    <col min="10499" max="10500" width="0" style="33" hidden="1" customWidth="1"/>
    <col min="10501" max="10501" width="10.08203125" style="33"/>
    <col min="10502" max="10502" width="14.1640625" style="33" bestFit="1" customWidth="1"/>
    <col min="10503" max="10503" width="12.33203125" style="33" customWidth="1"/>
    <col min="10504" max="10504" width="11" style="33" bestFit="1" customWidth="1"/>
    <col min="10505" max="10745" width="10.08203125" style="33"/>
    <col min="10746" max="10746" width="51" style="33" customWidth="1"/>
    <col min="10747" max="10747" width="12.25" style="33" customWidth="1"/>
    <col min="10748" max="10748" width="10.25" style="33" customWidth="1"/>
    <col min="10749" max="10749" width="1.6640625" style="33" customWidth="1"/>
    <col min="10750" max="10750" width="34.08203125" style="33" customWidth="1"/>
    <col min="10751" max="10751" width="12.25" style="33" customWidth="1"/>
    <col min="10752" max="10752" width="8.83203125" style="33" customWidth="1"/>
    <col min="10753" max="10753" width="13.4140625" style="33" customWidth="1"/>
    <col min="10754" max="10754" width="0.58203125" style="33" customWidth="1"/>
    <col min="10755" max="10756" width="0" style="33" hidden="1" customWidth="1"/>
    <col min="10757" max="10757" width="10.08203125" style="33"/>
    <col min="10758" max="10758" width="14.1640625" style="33" bestFit="1" customWidth="1"/>
    <col min="10759" max="10759" width="12.33203125" style="33" customWidth="1"/>
    <col min="10760" max="10760" width="11" style="33" bestFit="1" customWidth="1"/>
    <col min="10761" max="11001" width="10.08203125" style="33"/>
    <col min="11002" max="11002" width="51" style="33" customWidth="1"/>
    <col min="11003" max="11003" width="12.25" style="33" customWidth="1"/>
    <col min="11004" max="11004" width="10.25" style="33" customWidth="1"/>
    <col min="11005" max="11005" width="1.6640625" style="33" customWidth="1"/>
    <col min="11006" max="11006" width="34.08203125" style="33" customWidth="1"/>
    <col min="11007" max="11007" width="12.25" style="33" customWidth="1"/>
    <col min="11008" max="11008" width="8.83203125" style="33" customWidth="1"/>
    <col min="11009" max="11009" width="13.4140625" style="33" customWidth="1"/>
    <col min="11010" max="11010" width="0.58203125" style="33" customWidth="1"/>
    <col min="11011" max="11012" width="0" style="33" hidden="1" customWidth="1"/>
    <col min="11013" max="11013" width="10.08203125" style="33"/>
    <col min="11014" max="11014" width="14.1640625" style="33" bestFit="1" customWidth="1"/>
    <col min="11015" max="11015" width="12.33203125" style="33" customWidth="1"/>
    <col min="11016" max="11016" width="11" style="33" bestFit="1" customWidth="1"/>
    <col min="11017" max="11257" width="10.08203125" style="33"/>
    <col min="11258" max="11258" width="51" style="33" customWidth="1"/>
    <col min="11259" max="11259" width="12.25" style="33" customWidth="1"/>
    <col min="11260" max="11260" width="10.25" style="33" customWidth="1"/>
    <col min="11261" max="11261" width="1.6640625" style="33" customWidth="1"/>
    <col min="11262" max="11262" width="34.08203125" style="33" customWidth="1"/>
    <col min="11263" max="11263" width="12.25" style="33" customWidth="1"/>
    <col min="11264" max="11264" width="8.83203125" style="33" customWidth="1"/>
    <col min="11265" max="11265" width="13.4140625" style="33" customWidth="1"/>
    <col min="11266" max="11266" width="0.58203125" style="33" customWidth="1"/>
    <col min="11267" max="11268" width="0" style="33" hidden="1" customWidth="1"/>
    <col min="11269" max="11269" width="10.08203125" style="33"/>
    <col min="11270" max="11270" width="14.1640625" style="33" bestFit="1" customWidth="1"/>
    <col min="11271" max="11271" width="12.33203125" style="33" customWidth="1"/>
    <col min="11272" max="11272" width="11" style="33" bestFit="1" customWidth="1"/>
    <col min="11273" max="11513" width="10.08203125" style="33"/>
    <col min="11514" max="11514" width="51" style="33" customWidth="1"/>
    <col min="11515" max="11515" width="12.25" style="33" customWidth="1"/>
    <col min="11516" max="11516" width="10.25" style="33" customWidth="1"/>
    <col min="11517" max="11517" width="1.6640625" style="33" customWidth="1"/>
    <col min="11518" max="11518" width="34.08203125" style="33" customWidth="1"/>
    <col min="11519" max="11519" width="12.25" style="33" customWidth="1"/>
    <col min="11520" max="11520" width="8.83203125" style="33" customWidth="1"/>
    <col min="11521" max="11521" width="13.4140625" style="33" customWidth="1"/>
    <col min="11522" max="11522" width="0.58203125" style="33" customWidth="1"/>
    <col min="11523" max="11524" width="0" style="33" hidden="1" customWidth="1"/>
    <col min="11525" max="11525" width="10.08203125" style="33"/>
    <col min="11526" max="11526" width="14.1640625" style="33" bestFit="1" customWidth="1"/>
    <col min="11527" max="11527" width="12.33203125" style="33" customWidth="1"/>
    <col min="11528" max="11528" width="11" style="33" bestFit="1" customWidth="1"/>
    <col min="11529" max="11769" width="10.08203125" style="33"/>
    <col min="11770" max="11770" width="51" style="33" customWidth="1"/>
    <col min="11771" max="11771" width="12.25" style="33" customWidth="1"/>
    <col min="11772" max="11772" width="10.25" style="33" customWidth="1"/>
    <col min="11773" max="11773" width="1.6640625" style="33" customWidth="1"/>
    <col min="11774" max="11774" width="34.08203125" style="33" customWidth="1"/>
    <col min="11775" max="11775" width="12.25" style="33" customWidth="1"/>
    <col min="11776" max="11776" width="8.83203125" style="33" customWidth="1"/>
    <col min="11777" max="11777" width="13.4140625" style="33" customWidth="1"/>
    <col min="11778" max="11778" width="0.58203125" style="33" customWidth="1"/>
    <col min="11779" max="11780" width="0" style="33" hidden="1" customWidth="1"/>
    <col min="11781" max="11781" width="10.08203125" style="33"/>
    <col min="11782" max="11782" width="14.1640625" style="33" bestFit="1" customWidth="1"/>
    <col min="11783" max="11783" width="12.33203125" style="33" customWidth="1"/>
    <col min="11784" max="11784" width="11" style="33" bestFit="1" customWidth="1"/>
    <col min="11785" max="12025" width="10.08203125" style="33"/>
    <col min="12026" max="12026" width="51" style="33" customWidth="1"/>
    <col min="12027" max="12027" width="12.25" style="33" customWidth="1"/>
    <col min="12028" max="12028" width="10.25" style="33" customWidth="1"/>
    <col min="12029" max="12029" width="1.6640625" style="33" customWidth="1"/>
    <col min="12030" max="12030" width="34.08203125" style="33" customWidth="1"/>
    <col min="12031" max="12031" width="12.25" style="33" customWidth="1"/>
    <col min="12032" max="12032" width="8.83203125" style="33" customWidth="1"/>
    <col min="12033" max="12033" width="13.4140625" style="33" customWidth="1"/>
    <col min="12034" max="12034" width="0.58203125" style="33" customWidth="1"/>
    <col min="12035" max="12036" width="0" style="33" hidden="1" customWidth="1"/>
    <col min="12037" max="12037" width="10.08203125" style="33"/>
    <col min="12038" max="12038" width="14.1640625" style="33" bestFit="1" customWidth="1"/>
    <col min="12039" max="12039" width="12.33203125" style="33" customWidth="1"/>
    <col min="12040" max="12040" width="11" style="33" bestFit="1" customWidth="1"/>
    <col min="12041" max="12281" width="10.08203125" style="33"/>
    <col min="12282" max="12282" width="51" style="33" customWidth="1"/>
    <col min="12283" max="12283" width="12.25" style="33" customWidth="1"/>
    <col min="12284" max="12284" width="10.25" style="33" customWidth="1"/>
    <col min="12285" max="12285" width="1.6640625" style="33" customWidth="1"/>
    <col min="12286" max="12286" width="34.08203125" style="33" customWidth="1"/>
    <col min="12287" max="12287" width="12.25" style="33" customWidth="1"/>
    <col min="12288" max="12288" width="8.83203125" style="33" customWidth="1"/>
    <col min="12289" max="12289" width="13.4140625" style="33" customWidth="1"/>
    <col min="12290" max="12290" width="0.58203125" style="33" customWidth="1"/>
    <col min="12291" max="12292" width="0" style="33" hidden="1" customWidth="1"/>
    <col min="12293" max="12293" width="10.08203125" style="33"/>
    <col min="12294" max="12294" width="14.1640625" style="33" bestFit="1" customWidth="1"/>
    <col min="12295" max="12295" width="12.33203125" style="33" customWidth="1"/>
    <col min="12296" max="12296" width="11" style="33" bestFit="1" customWidth="1"/>
    <col min="12297" max="12537" width="10.08203125" style="33"/>
    <col min="12538" max="12538" width="51" style="33" customWidth="1"/>
    <col min="12539" max="12539" width="12.25" style="33" customWidth="1"/>
    <col min="12540" max="12540" width="10.25" style="33" customWidth="1"/>
    <col min="12541" max="12541" width="1.6640625" style="33" customWidth="1"/>
    <col min="12542" max="12542" width="34.08203125" style="33" customWidth="1"/>
    <col min="12543" max="12543" width="12.25" style="33" customWidth="1"/>
    <col min="12544" max="12544" width="8.83203125" style="33" customWidth="1"/>
    <col min="12545" max="12545" width="13.4140625" style="33" customWidth="1"/>
    <col min="12546" max="12546" width="0.58203125" style="33" customWidth="1"/>
    <col min="12547" max="12548" width="0" style="33" hidden="1" customWidth="1"/>
    <col min="12549" max="12549" width="10.08203125" style="33"/>
    <col min="12550" max="12550" width="14.1640625" style="33" bestFit="1" customWidth="1"/>
    <col min="12551" max="12551" width="12.33203125" style="33" customWidth="1"/>
    <col min="12552" max="12552" width="11" style="33" bestFit="1" customWidth="1"/>
    <col min="12553" max="12793" width="10.08203125" style="33"/>
    <col min="12794" max="12794" width="51" style="33" customWidth="1"/>
    <col min="12795" max="12795" width="12.25" style="33" customWidth="1"/>
    <col min="12796" max="12796" width="10.25" style="33" customWidth="1"/>
    <col min="12797" max="12797" width="1.6640625" style="33" customWidth="1"/>
    <col min="12798" max="12798" width="34.08203125" style="33" customWidth="1"/>
    <col min="12799" max="12799" width="12.25" style="33" customWidth="1"/>
    <col min="12800" max="12800" width="8.83203125" style="33" customWidth="1"/>
    <col min="12801" max="12801" width="13.4140625" style="33" customWidth="1"/>
    <col min="12802" max="12802" width="0.58203125" style="33" customWidth="1"/>
    <col min="12803" max="12804" width="0" style="33" hidden="1" customWidth="1"/>
    <col min="12805" max="12805" width="10.08203125" style="33"/>
    <col min="12806" max="12806" width="14.1640625" style="33" bestFit="1" customWidth="1"/>
    <col min="12807" max="12807" width="12.33203125" style="33" customWidth="1"/>
    <col min="12808" max="12808" width="11" style="33" bestFit="1" customWidth="1"/>
    <col min="12809" max="13049" width="10.08203125" style="33"/>
    <col min="13050" max="13050" width="51" style="33" customWidth="1"/>
    <col min="13051" max="13051" width="12.25" style="33" customWidth="1"/>
    <col min="13052" max="13052" width="10.25" style="33" customWidth="1"/>
    <col min="13053" max="13053" width="1.6640625" style="33" customWidth="1"/>
    <col min="13054" max="13054" width="34.08203125" style="33" customWidth="1"/>
    <col min="13055" max="13055" width="12.25" style="33" customWidth="1"/>
    <col min="13056" max="13056" width="8.83203125" style="33" customWidth="1"/>
    <col min="13057" max="13057" width="13.4140625" style="33" customWidth="1"/>
    <col min="13058" max="13058" width="0.58203125" style="33" customWidth="1"/>
    <col min="13059" max="13060" width="0" style="33" hidden="1" customWidth="1"/>
    <col min="13061" max="13061" width="10.08203125" style="33"/>
    <col min="13062" max="13062" width="14.1640625" style="33" bestFit="1" customWidth="1"/>
    <col min="13063" max="13063" width="12.33203125" style="33" customWidth="1"/>
    <col min="13064" max="13064" width="11" style="33" bestFit="1" customWidth="1"/>
    <col min="13065" max="13305" width="10.08203125" style="33"/>
    <col min="13306" max="13306" width="51" style="33" customWidth="1"/>
    <col min="13307" max="13307" width="12.25" style="33" customWidth="1"/>
    <col min="13308" max="13308" width="10.25" style="33" customWidth="1"/>
    <col min="13309" max="13309" width="1.6640625" style="33" customWidth="1"/>
    <col min="13310" max="13310" width="34.08203125" style="33" customWidth="1"/>
    <col min="13311" max="13311" width="12.25" style="33" customWidth="1"/>
    <col min="13312" max="13312" width="8.83203125" style="33" customWidth="1"/>
    <col min="13313" max="13313" width="13.4140625" style="33" customWidth="1"/>
    <col min="13314" max="13314" width="0.58203125" style="33" customWidth="1"/>
    <col min="13315" max="13316" width="0" style="33" hidden="1" customWidth="1"/>
    <col min="13317" max="13317" width="10.08203125" style="33"/>
    <col min="13318" max="13318" width="14.1640625" style="33" bestFit="1" customWidth="1"/>
    <col min="13319" max="13319" width="12.33203125" style="33" customWidth="1"/>
    <col min="13320" max="13320" width="11" style="33" bestFit="1" customWidth="1"/>
    <col min="13321" max="13561" width="10.08203125" style="33"/>
    <col min="13562" max="13562" width="51" style="33" customWidth="1"/>
    <col min="13563" max="13563" width="12.25" style="33" customWidth="1"/>
    <col min="13564" max="13564" width="10.25" style="33" customWidth="1"/>
    <col min="13565" max="13565" width="1.6640625" style="33" customWidth="1"/>
    <col min="13566" max="13566" width="34.08203125" style="33" customWidth="1"/>
    <col min="13567" max="13567" width="12.25" style="33" customWidth="1"/>
    <col min="13568" max="13568" width="8.83203125" style="33" customWidth="1"/>
    <col min="13569" max="13569" width="13.4140625" style="33" customWidth="1"/>
    <col min="13570" max="13570" width="0.58203125" style="33" customWidth="1"/>
    <col min="13571" max="13572" width="0" style="33" hidden="1" customWidth="1"/>
    <col min="13573" max="13573" width="10.08203125" style="33"/>
    <col min="13574" max="13574" width="14.1640625" style="33" bestFit="1" customWidth="1"/>
    <col min="13575" max="13575" width="12.33203125" style="33" customWidth="1"/>
    <col min="13576" max="13576" width="11" style="33" bestFit="1" customWidth="1"/>
    <col min="13577" max="13817" width="10.08203125" style="33"/>
    <col min="13818" max="13818" width="51" style="33" customWidth="1"/>
    <col min="13819" max="13819" width="12.25" style="33" customWidth="1"/>
    <col min="13820" max="13820" width="10.25" style="33" customWidth="1"/>
    <col min="13821" max="13821" width="1.6640625" style="33" customWidth="1"/>
    <col min="13822" max="13822" width="34.08203125" style="33" customWidth="1"/>
    <col min="13823" max="13823" width="12.25" style="33" customWidth="1"/>
    <col min="13824" max="13824" width="8.83203125" style="33" customWidth="1"/>
    <col min="13825" max="13825" width="13.4140625" style="33" customWidth="1"/>
    <col min="13826" max="13826" width="0.58203125" style="33" customWidth="1"/>
    <col min="13827" max="13828" width="0" style="33" hidden="1" customWidth="1"/>
    <col min="13829" max="13829" width="10.08203125" style="33"/>
    <col min="13830" max="13830" width="14.1640625" style="33" bestFit="1" customWidth="1"/>
    <col min="13831" max="13831" width="12.33203125" style="33" customWidth="1"/>
    <col min="13832" max="13832" width="11" style="33" bestFit="1" customWidth="1"/>
    <col min="13833" max="14073" width="10.08203125" style="33"/>
    <col min="14074" max="14074" width="51" style="33" customWidth="1"/>
    <col min="14075" max="14075" width="12.25" style="33" customWidth="1"/>
    <col min="14076" max="14076" width="10.25" style="33" customWidth="1"/>
    <col min="14077" max="14077" width="1.6640625" style="33" customWidth="1"/>
    <col min="14078" max="14078" width="34.08203125" style="33" customWidth="1"/>
    <col min="14079" max="14079" width="12.25" style="33" customWidth="1"/>
    <col min="14080" max="14080" width="8.83203125" style="33" customWidth="1"/>
    <col min="14081" max="14081" width="13.4140625" style="33" customWidth="1"/>
    <col min="14082" max="14082" width="0.58203125" style="33" customWidth="1"/>
    <col min="14083" max="14084" width="0" style="33" hidden="1" customWidth="1"/>
    <col min="14085" max="14085" width="10.08203125" style="33"/>
    <col min="14086" max="14086" width="14.1640625" style="33" bestFit="1" customWidth="1"/>
    <col min="14087" max="14087" width="12.33203125" style="33" customWidth="1"/>
    <col min="14088" max="14088" width="11" style="33" bestFit="1" customWidth="1"/>
    <col min="14089" max="14329" width="10.08203125" style="33"/>
    <col min="14330" max="14330" width="51" style="33" customWidth="1"/>
    <col min="14331" max="14331" width="12.25" style="33" customWidth="1"/>
    <col min="14332" max="14332" width="10.25" style="33" customWidth="1"/>
    <col min="14333" max="14333" width="1.6640625" style="33" customWidth="1"/>
    <col min="14334" max="14334" width="34.08203125" style="33" customWidth="1"/>
    <col min="14335" max="14335" width="12.25" style="33" customWidth="1"/>
    <col min="14336" max="14336" width="8.83203125" style="33" customWidth="1"/>
    <col min="14337" max="14337" width="13.4140625" style="33" customWidth="1"/>
    <col min="14338" max="14338" width="0.58203125" style="33" customWidth="1"/>
    <col min="14339" max="14340" width="0" style="33" hidden="1" customWidth="1"/>
    <col min="14341" max="14341" width="10.08203125" style="33"/>
    <col min="14342" max="14342" width="14.1640625" style="33" bestFit="1" customWidth="1"/>
    <col min="14343" max="14343" width="12.33203125" style="33" customWidth="1"/>
    <col min="14344" max="14344" width="11" style="33" bestFit="1" customWidth="1"/>
    <col min="14345" max="14585" width="10.08203125" style="33"/>
    <col min="14586" max="14586" width="51" style="33" customWidth="1"/>
    <col min="14587" max="14587" width="12.25" style="33" customWidth="1"/>
    <col min="14588" max="14588" width="10.25" style="33" customWidth="1"/>
    <col min="14589" max="14589" width="1.6640625" style="33" customWidth="1"/>
    <col min="14590" max="14590" width="34.08203125" style="33" customWidth="1"/>
    <col min="14591" max="14591" width="12.25" style="33" customWidth="1"/>
    <col min="14592" max="14592" width="8.83203125" style="33" customWidth="1"/>
    <col min="14593" max="14593" width="13.4140625" style="33" customWidth="1"/>
    <col min="14594" max="14594" width="0.58203125" style="33" customWidth="1"/>
    <col min="14595" max="14596" width="0" style="33" hidden="1" customWidth="1"/>
    <col min="14597" max="14597" width="10.08203125" style="33"/>
    <col min="14598" max="14598" width="14.1640625" style="33" bestFit="1" customWidth="1"/>
    <col min="14599" max="14599" width="12.33203125" style="33" customWidth="1"/>
    <col min="14600" max="14600" width="11" style="33" bestFit="1" customWidth="1"/>
    <col min="14601" max="14841" width="10.08203125" style="33"/>
    <col min="14842" max="14842" width="51" style="33" customWidth="1"/>
    <col min="14843" max="14843" width="12.25" style="33" customWidth="1"/>
    <col min="14844" max="14844" width="10.25" style="33" customWidth="1"/>
    <col min="14845" max="14845" width="1.6640625" style="33" customWidth="1"/>
    <col min="14846" max="14846" width="34.08203125" style="33" customWidth="1"/>
    <col min="14847" max="14847" width="12.25" style="33" customWidth="1"/>
    <col min="14848" max="14848" width="8.83203125" style="33" customWidth="1"/>
    <col min="14849" max="14849" width="13.4140625" style="33" customWidth="1"/>
    <col min="14850" max="14850" width="0.58203125" style="33" customWidth="1"/>
    <col min="14851" max="14852" width="0" style="33" hidden="1" customWidth="1"/>
    <col min="14853" max="14853" width="10.08203125" style="33"/>
    <col min="14854" max="14854" width="14.1640625" style="33" bestFit="1" customWidth="1"/>
    <col min="14855" max="14855" width="12.33203125" style="33" customWidth="1"/>
    <col min="14856" max="14856" width="11" style="33" bestFit="1" customWidth="1"/>
    <col min="14857" max="15097" width="10.08203125" style="33"/>
    <col min="15098" max="15098" width="51" style="33" customWidth="1"/>
    <col min="15099" max="15099" width="12.25" style="33" customWidth="1"/>
    <col min="15100" max="15100" width="10.25" style="33" customWidth="1"/>
    <col min="15101" max="15101" width="1.6640625" style="33" customWidth="1"/>
    <col min="15102" max="15102" width="34.08203125" style="33" customWidth="1"/>
    <col min="15103" max="15103" width="12.25" style="33" customWidth="1"/>
    <col min="15104" max="15104" width="8.83203125" style="33" customWidth="1"/>
    <col min="15105" max="15105" width="13.4140625" style="33" customWidth="1"/>
    <col min="15106" max="15106" width="0.58203125" style="33" customWidth="1"/>
    <col min="15107" max="15108" width="0" style="33" hidden="1" customWidth="1"/>
    <col min="15109" max="15109" width="10.08203125" style="33"/>
    <col min="15110" max="15110" width="14.1640625" style="33" bestFit="1" customWidth="1"/>
    <col min="15111" max="15111" width="12.33203125" style="33" customWidth="1"/>
    <col min="15112" max="15112" width="11" style="33" bestFit="1" customWidth="1"/>
    <col min="15113" max="15353" width="10.08203125" style="33"/>
    <col min="15354" max="15354" width="51" style="33" customWidth="1"/>
    <col min="15355" max="15355" width="12.25" style="33" customWidth="1"/>
    <col min="15356" max="15356" width="10.25" style="33" customWidth="1"/>
    <col min="15357" max="15357" width="1.6640625" style="33" customWidth="1"/>
    <col min="15358" max="15358" width="34.08203125" style="33" customWidth="1"/>
    <col min="15359" max="15359" width="12.25" style="33" customWidth="1"/>
    <col min="15360" max="15360" width="8.83203125" style="33" customWidth="1"/>
    <col min="15361" max="15361" width="13.4140625" style="33" customWidth="1"/>
    <col min="15362" max="15362" width="0.58203125" style="33" customWidth="1"/>
    <col min="15363" max="15364" width="0" style="33" hidden="1" customWidth="1"/>
    <col min="15365" max="15365" width="10.08203125" style="33"/>
    <col min="15366" max="15366" width="14.1640625" style="33" bestFit="1" customWidth="1"/>
    <col min="15367" max="15367" width="12.33203125" style="33" customWidth="1"/>
    <col min="15368" max="15368" width="11" style="33" bestFit="1" customWidth="1"/>
    <col min="15369" max="15609" width="10.08203125" style="33"/>
    <col min="15610" max="15610" width="51" style="33" customWidth="1"/>
    <col min="15611" max="15611" width="12.25" style="33" customWidth="1"/>
    <col min="15612" max="15612" width="10.25" style="33" customWidth="1"/>
    <col min="15613" max="15613" width="1.6640625" style="33" customWidth="1"/>
    <col min="15614" max="15614" width="34.08203125" style="33" customWidth="1"/>
    <col min="15615" max="15615" width="12.25" style="33" customWidth="1"/>
    <col min="15616" max="15616" width="8.83203125" style="33" customWidth="1"/>
    <col min="15617" max="15617" width="13.4140625" style="33" customWidth="1"/>
    <col min="15618" max="15618" width="0.58203125" style="33" customWidth="1"/>
    <col min="15619" max="15620" width="0" style="33" hidden="1" customWidth="1"/>
    <col min="15621" max="15621" width="10.08203125" style="33"/>
    <col min="15622" max="15622" width="14.1640625" style="33" bestFit="1" customWidth="1"/>
    <col min="15623" max="15623" width="12.33203125" style="33" customWidth="1"/>
    <col min="15624" max="15624" width="11" style="33" bestFit="1" customWidth="1"/>
    <col min="15625" max="15865" width="10.08203125" style="33"/>
    <col min="15866" max="15866" width="51" style="33" customWidth="1"/>
    <col min="15867" max="15867" width="12.25" style="33" customWidth="1"/>
    <col min="15868" max="15868" width="10.25" style="33" customWidth="1"/>
    <col min="15869" max="15869" width="1.6640625" style="33" customWidth="1"/>
    <col min="15870" max="15870" width="34.08203125" style="33" customWidth="1"/>
    <col min="15871" max="15871" width="12.25" style="33" customWidth="1"/>
    <col min="15872" max="15872" width="8.83203125" style="33" customWidth="1"/>
    <col min="15873" max="15873" width="13.4140625" style="33" customWidth="1"/>
    <col min="15874" max="15874" width="0.58203125" style="33" customWidth="1"/>
    <col min="15875" max="15876" width="0" style="33" hidden="1" customWidth="1"/>
    <col min="15877" max="15877" width="10.08203125" style="33"/>
    <col min="15878" max="15878" width="14.1640625" style="33" bestFit="1" customWidth="1"/>
    <col min="15879" max="15879" width="12.33203125" style="33" customWidth="1"/>
    <col min="15880" max="15880" width="11" style="33" bestFit="1" customWidth="1"/>
    <col min="15881" max="16121" width="10.08203125" style="33"/>
    <col min="16122" max="16122" width="51" style="33" customWidth="1"/>
    <col min="16123" max="16123" width="12.25" style="33" customWidth="1"/>
    <col min="16124" max="16124" width="10.25" style="33" customWidth="1"/>
    <col min="16125" max="16125" width="1.6640625" style="33" customWidth="1"/>
    <col min="16126" max="16126" width="34.08203125" style="33" customWidth="1"/>
    <col min="16127" max="16127" width="12.25" style="33" customWidth="1"/>
    <col min="16128" max="16128" width="8.83203125" style="33" customWidth="1"/>
    <col min="16129" max="16129" width="13.4140625" style="33" customWidth="1"/>
    <col min="16130" max="16130" width="0.58203125" style="33" customWidth="1"/>
    <col min="16131" max="16132" width="0" style="33" hidden="1" customWidth="1"/>
    <col min="16133" max="16133" width="10.08203125" style="33"/>
    <col min="16134" max="16134" width="14.1640625" style="33" bestFit="1" customWidth="1"/>
    <col min="16135" max="16135" width="12.33203125" style="33" customWidth="1"/>
    <col min="16136" max="16136" width="11" style="33" bestFit="1" customWidth="1"/>
    <col min="16137" max="16384" width="10.08203125" style="33"/>
  </cols>
  <sheetData>
    <row r="1" spans="1:8" ht="27.5" customHeight="1">
      <c r="A1" s="1443"/>
      <c r="B1" s="1443"/>
      <c r="C1" s="1443"/>
      <c r="D1" s="1443"/>
      <c r="E1" s="1443"/>
    </row>
    <row r="2" spans="1:8" ht="24.75" customHeight="1">
      <c r="A2" s="731"/>
      <c r="B2" s="731"/>
      <c r="C2" s="731"/>
      <c r="D2" s="731"/>
      <c r="E2" s="731"/>
    </row>
    <row r="3" spans="1:8" ht="27" hidden="1" customHeight="1">
      <c r="A3" s="731"/>
      <c r="B3" s="731"/>
      <c r="C3" s="731"/>
      <c r="D3" s="731"/>
      <c r="E3" s="731"/>
    </row>
    <row r="4" spans="1:8" ht="18" customHeight="1">
      <c r="A4" s="1444" t="s">
        <v>731</v>
      </c>
      <c r="B4" s="1444"/>
      <c r="C4" s="1444"/>
      <c r="D4" s="1444"/>
      <c r="E4" s="1444"/>
    </row>
    <row r="5" spans="1:8" ht="18.75" customHeight="1">
      <c r="A5" s="1445" t="s">
        <v>732</v>
      </c>
      <c r="B5" s="1445"/>
      <c r="C5" s="1445"/>
      <c r="D5" s="1445"/>
      <c r="E5" s="1445"/>
    </row>
    <row r="6" spans="1:8" ht="23" customHeight="1">
      <c r="A6" s="760"/>
      <c r="B6" s="760"/>
      <c r="C6" s="761">
        <f>SUM(C8:C44)</f>
        <v>140496</v>
      </c>
      <c r="D6" s="761">
        <f>SUM(D8:D44)</f>
        <v>140496</v>
      </c>
    </row>
    <row r="7" spans="1:8" ht="52.5" customHeight="1">
      <c r="A7" s="732" t="s">
        <v>213</v>
      </c>
      <c r="B7" s="784"/>
      <c r="C7" s="214" t="s">
        <v>300</v>
      </c>
      <c r="D7" s="214" t="s">
        <v>301</v>
      </c>
      <c r="E7" s="33" t="s">
        <v>759</v>
      </c>
    </row>
    <row r="8" spans="1:8" ht="23.25" customHeight="1">
      <c r="A8" s="733" t="s">
        <v>733</v>
      </c>
      <c r="B8" s="733"/>
      <c r="C8" s="762"/>
      <c r="D8" s="763">
        <v>2000</v>
      </c>
      <c r="E8" s="33">
        <v>6110</v>
      </c>
    </row>
    <row r="9" spans="1:8" ht="14.75" customHeight="1">
      <c r="A9" s="1248" t="s">
        <v>735</v>
      </c>
      <c r="B9" s="1248"/>
      <c r="C9" s="1249"/>
      <c r="D9" s="1250">
        <v>3500</v>
      </c>
      <c r="E9" s="33">
        <v>6110</v>
      </c>
    </row>
    <row r="10" spans="1:8" ht="14" customHeight="1">
      <c r="A10" s="1248" t="s">
        <v>736</v>
      </c>
      <c r="B10" s="1248"/>
      <c r="C10" s="1249"/>
      <c r="D10" s="1251">
        <v>2977</v>
      </c>
      <c r="E10" s="33">
        <v>6110</v>
      </c>
    </row>
    <row r="11" spans="1:8" ht="16.25" customHeight="1">
      <c r="A11" s="735" t="s">
        <v>737</v>
      </c>
      <c r="B11" s="735"/>
      <c r="C11" s="764"/>
      <c r="D11" s="763">
        <v>3500</v>
      </c>
      <c r="E11" s="33">
        <v>6250</v>
      </c>
    </row>
    <row r="12" spans="1:8" ht="14.75" customHeight="1">
      <c r="A12" s="735" t="s">
        <v>738</v>
      </c>
      <c r="B12" s="735"/>
      <c r="C12" s="764"/>
      <c r="D12" s="763">
        <v>1500</v>
      </c>
      <c r="E12" s="33">
        <v>6250</v>
      </c>
    </row>
    <row r="13" spans="1:8" ht="14.75" customHeight="1">
      <c r="A13" s="735" t="s">
        <v>739</v>
      </c>
      <c r="B13" s="735"/>
      <c r="C13" s="764"/>
      <c r="D13" s="763">
        <v>1500</v>
      </c>
      <c r="E13" s="33">
        <v>6250</v>
      </c>
    </row>
    <row r="14" spans="1:8" ht="22.5" customHeight="1">
      <c r="A14" s="736" t="s">
        <v>764</v>
      </c>
      <c r="B14" s="754"/>
      <c r="C14" s="765"/>
      <c r="D14" s="766">
        <v>35729</v>
      </c>
      <c r="E14" s="33">
        <v>6110</v>
      </c>
      <c r="H14" s="35"/>
    </row>
    <row r="15" spans="1:8" ht="25.5" customHeight="1">
      <c r="A15" s="738" t="s">
        <v>765</v>
      </c>
      <c r="B15" s="755"/>
      <c r="C15" s="767"/>
      <c r="D15" s="766">
        <v>15182</v>
      </c>
      <c r="E15" s="33">
        <v>6110</v>
      </c>
      <c r="H15" s="35"/>
    </row>
    <row r="16" spans="1:8" ht="24" customHeight="1">
      <c r="A16" s="739" t="s">
        <v>766</v>
      </c>
      <c r="B16" s="739"/>
      <c r="C16" s="768"/>
      <c r="D16" s="763">
        <v>6514</v>
      </c>
      <c r="E16" s="33">
        <v>6110</v>
      </c>
      <c r="H16" s="35"/>
    </row>
    <row r="17" spans="1:8" ht="14.75" customHeight="1">
      <c r="A17" s="741" t="s">
        <v>740</v>
      </c>
      <c r="B17" s="741"/>
      <c r="C17" s="769"/>
      <c r="D17" s="763">
        <v>1244</v>
      </c>
      <c r="E17" s="33">
        <v>6110</v>
      </c>
      <c r="H17" s="35"/>
    </row>
    <row r="18" spans="1:8" ht="15.5" customHeight="1">
      <c r="A18" s="743" t="s">
        <v>741</v>
      </c>
      <c r="B18" s="756"/>
      <c r="C18" s="770"/>
      <c r="D18" s="766">
        <v>1200</v>
      </c>
      <c r="E18" s="33">
        <v>6110</v>
      </c>
    </row>
    <row r="19" spans="1:8" ht="15.5" customHeight="1">
      <c r="A19" s="744" t="s">
        <v>742</v>
      </c>
      <c r="B19" s="744"/>
      <c r="C19" s="771"/>
      <c r="D19" s="763">
        <v>1600</v>
      </c>
      <c r="E19" s="33">
        <v>6110</v>
      </c>
    </row>
    <row r="20" spans="1:8" ht="20.5" customHeight="1">
      <c r="A20" s="740" t="s">
        <v>743</v>
      </c>
      <c r="B20" s="740"/>
      <c r="C20" s="772"/>
      <c r="D20" s="773">
        <v>11000</v>
      </c>
      <c r="E20" s="33">
        <v>6110</v>
      </c>
    </row>
    <row r="21" spans="1:8" ht="12.5">
      <c r="A21" s="745" t="s">
        <v>767</v>
      </c>
      <c r="B21" s="757"/>
      <c r="C21" s="774"/>
      <c r="D21" s="773">
        <v>33100</v>
      </c>
      <c r="E21" s="33">
        <v>6110</v>
      </c>
      <c r="F21" s="746"/>
    </row>
    <row r="22" spans="1:8" ht="32" customHeight="1">
      <c r="A22" s="748" t="s">
        <v>768</v>
      </c>
      <c r="B22" s="758"/>
      <c r="C22" s="775"/>
      <c r="D22" s="776">
        <v>800</v>
      </c>
      <c r="E22" s="33">
        <v>6228</v>
      </c>
    </row>
    <row r="23" spans="1:8" ht="27" customHeight="1">
      <c r="A23" s="749" t="s">
        <v>744</v>
      </c>
      <c r="B23" s="759"/>
      <c r="C23" s="777"/>
      <c r="D23" s="776">
        <v>1450</v>
      </c>
      <c r="E23" s="33">
        <v>6228</v>
      </c>
    </row>
    <row r="24" spans="1:8" ht="22.5" customHeight="1">
      <c r="A24" s="748" t="s">
        <v>745</v>
      </c>
      <c r="B24" s="758"/>
      <c r="C24" s="775"/>
      <c r="D24" s="776">
        <v>1800</v>
      </c>
      <c r="E24" s="33">
        <v>6228</v>
      </c>
    </row>
    <row r="25" spans="1:8" ht="24" customHeight="1">
      <c r="A25" s="748" t="s">
        <v>746</v>
      </c>
      <c r="B25" s="758"/>
      <c r="C25" s="775"/>
      <c r="D25" s="776">
        <v>2000</v>
      </c>
      <c r="E25" s="33">
        <v>6228</v>
      </c>
    </row>
    <row r="26" spans="1:8" ht="26" customHeight="1">
      <c r="A26" s="748" t="s">
        <v>747</v>
      </c>
      <c r="B26" s="758"/>
      <c r="C26" s="775"/>
      <c r="D26" s="776">
        <v>1200</v>
      </c>
      <c r="E26" s="33">
        <v>6110</v>
      </c>
    </row>
    <row r="27" spans="1:8" ht="16" customHeight="1">
      <c r="A27" s="750" t="s">
        <v>748</v>
      </c>
      <c r="B27" s="737"/>
      <c r="C27" s="778"/>
      <c r="D27" s="776">
        <v>300</v>
      </c>
      <c r="E27" s="33">
        <v>6110</v>
      </c>
    </row>
    <row r="28" spans="1:8" ht="12.75" customHeight="1">
      <c r="A28" s="1254" t="s">
        <v>749</v>
      </c>
      <c r="B28" s="1254"/>
      <c r="C28" s="1255"/>
      <c r="D28" s="1256">
        <v>1800</v>
      </c>
      <c r="E28" s="356">
        <v>6230</v>
      </c>
    </row>
    <row r="29" spans="1:8" ht="14.75" customHeight="1">
      <c r="A29" s="740" t="s">
        <v>751</v>
      </c>
      <c r="B29" s="740"/>
      <c r="C29" s="772"/>
      <c r="D29" s="779">
        <v>1000</v>
      </c>
      <c r="E29" s="33">
        <v>6110</v>
      </c>
    </row>
    <row r="30" spans="1:8" ht="14.75" customHeight="1">
      <c r="A30" s="751" t="s">
        <v>753</v>
      </c>
      <c r="B30" s="751"/>
      <c r="C30" s="780"/>
      <c r="D30" s="779">
        <v>1800</v>
      </c>
      <c r="E30" s="33">
        <v>6110</v>
      </c>
    </row>
    <row r="31" spans="1:8" ht="14.25" customHeight="1">
      <c r="A31" s="1252" t="s">
        <v>755</v>
      </c>
      <c r="B31" s="1252"/>
      <c r="C31" s="1253"/>
      <c r="D31" s="1250">
        <v>1350</v>
      </c>
      <c r="E31" s="33">
        <v>6110</v>
      </c>
    </row>
    <row r="32" spans="1:8" ht="14.75" customHeight="1">
      <c r="A32" s="751" t="s">
        <v>756</v>
      </c>
      <c r="B32" s="751"/>
      <c r="C32" s="780"/>
      <c r="D32" s="779">
        <v>1300</v>
      </c>
      <c r="E32" s="33">
        <v>6110</v>
      </c>
    </row>
    <row r="33" spans="1:8" ht="24" customHeight="1">
      <c r="A33" s="753" t="s">
        <v>757</v>
      </c>
      <c r="B33" s="753"/>
      <c r="C33" s="781"/>
      <c r="D33" s="773">
        <v>800</v>
      </c>
      <c r="E33" s="33">
        <v>6110</v>
      </c>
    </row>
    <row r="34" spans="1:8" ht="14.75" customHeight="1">
      <c r="A34" s="1243" t="s">
        <v>758</v>
      </c>
      <c r="B34" s="1243"/>
      <c r="C34" s="1244"/>
      <c r="D34" s="1245">
        <v>4350</v>
      </c>
      <c r="E34" s="33">
        <v>8620</v>
      </c>
      <c r="F34" s="1469" t="s">
        <v>1007</v>
      </c>
      <c r="G34" s="1469" t="s">
        <v>1008</v>
      </c>
      <c r="H34" s="1471">
        <v>0.25</v>
      </c>
    </row>
    <row r="35" spans="1:8" ht="15.5">
      <c r="A35" s="1240" t="s">
        <v>734</v>
      </c>
      <c r="B35" s="1241"/>
      <c r="C35" s="1242">
        <v>7024.8</v>
      </c>
      <c r="D35" s="497"/>
      <c r="E35" s="33">
        <v>7771</v>
      </c>
      <c r="F35" s="1470">
        <v>7300</v>
      </c>
      <c r="G35" s="33">
        <f>+F35/2</f>
        <v>3650</v>
      </c>
      <c r="H35" s="33">
        <f>+G35*0.25</f>
        <v>912.5</v>
      </c>
    </row>
    <row r="36" spans="1:8" ht="12.5">
      <c r="A36" s="747" t="s">
        <v>750</v>
      </c>
      <c r="B36" s="785"/>
      <c r="C36" s="773">
        <v>40000</v>
      </c>
      <c r="D36" s="497"/>
      <c r="E36" s="33">
        <v>7440</v>
      </c>
    </row>
    <row r="37" spans="1:8" ht="15.5">
      <c r="A37" s="734" t="s">
        <v>752</v>
      </c>
      <c r="B37" s="786"/>
      <c r="C37" s="782">
        <v>74121.200000000012</v>
      </c>
      <c r="D37" s="497"/>
      <c r="E37" s="33">
        <v>7430</v>
      </c>
    </row>
    <row r="38" spans="1:8" ht="15.5">
      <c r="A38" s="752" t="s">
        <v>754</v>
      </c>
      <c r="B38" s="787"/>
      <c r="C38" s="783">
        <v>15000</v>
      </c>
      <c r="D38" s="497"/>
      <c r="E38" s="33">
        <v>7450</v>
      </c>
    </row>
    <row r="39" spans="1:8" ht="12.5">
      <c r="A39" s="1246" t="s">
        <v>769</v>
      </c>
      <c r="B39" s="1247"/>
      <c r="C39" s="1245">
        <v>4350</v>
      </c>
      <c r="D39" s="497"/>
      <c r="E39" s="33">
        <v>8710</v>
      </c>
    </row>
  </sheetData>
  <sheetProtection selectLockedCells="1" selectUnlockedCells="1"/>
  <mergeCells count="3">
    <mergeCell ref="A1:E1"/>
    <mergeCell ref="A4:E4"/>
    <mergeCell ref="A5:E5"/>
  </mergeCells>
  <pageMargins left="0.39374999999999999" right="0.39374999999999999" top="0.39374999999999999" bottom="0.39374999999999999" header="0.51180555555555551" footer="0.51180555555555551"/>
  <pageSetup paperSize="9" scale="56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76"/>
  <sheetViews>
    <sheetView showGridLines="0" tabSelected="1" zoomScale="90" zoomScaleNormal="90" workbookViewId="0">
      <pane ySplit="7" topLeftCell="A8" activePane="bottomLeft" state="frozen"/>
      <selection pane="bottomLeft" activeCell="I61" sqref="A1:I61"/>
    </sheetView>
  </sheetViews>
  <sheetFormatPr baseColWidth="10" defaultRowHeight="15.5"/>
  <cols>
    <col min="1" max="1" width="6" customWidth="1"/>
    <col min="2" max="2" width="6.6640625" style="249" customWidth="1"/>
    <col min="3" max="3" width="26.33203125" style="247" customWidth="1"/>
    <col min="4" max="4" width="9.08203125" style="248" customWidth="1"/>
    <col min="5" max="5" width="9.83203125" style="248" customWidth="1"/>
    <col min="6" max="6" width="10.75" style="249" customWidth="1"/>
    <col min="7" max="8" width="9.08203125" customWidth="1"/>
    <col min="9" max="9" width="10.1640625" style="949" customWidth="1"/>
    <col min="10" max="10" width="14.9140625" customWidth="1"/>
    <col min="11" max="11" width="9.08203125" style="725" customWidth="1"/>
  </cols>
  <sheetData>
    <row r="1" spans="1:17" s="254" customFormat="1" ht="23.5">
      <c r="A1" s="1435" t="s">
        <v>627</v>
      </c>
      <c r="B1" s="1435"/>
      <c r="C1" s="1435"/>
      <c r="D1" s="1435"/>
      <c r="E1" s="1435"/>
      <c r="F1" s="1435"/>
      <c r="I1" s="1216"/>
      <c r="K1" s="727"/>
    </row>
    <row r="2" spans="1:17" s="446" customFormat="1" ht="23.5">
      <c r="A2" s="445"/>
      <c r="B2" s="445"/>
      <c r="C2" s="445" t="s">
        <v>628</v>
      </c>
      <c r="D2" s="445"/>
      <c r="E2" s="445"/>
      <c r="F2" s="445"/>
      <c r="I2" s="1217"/>
      <c r="K2" s="728"/>
    </row>
    <row r="3" spans="1:17">
      <c r="B3"/>
    </row>
    <row r="4" spans="1:17">
      <c r="B4"/>
    </row>
    <row r="5" spans="1:17">
      <c r="A5" s="60" t="s">
        <v>316</v>
      </c>
      <c r="B5"/>
      <c r="C5"/>
      <c r="D5" s="60" t="s">
        <v>174</v>
      </c>
      <c r="E5" s="60" t="s">
        <v>169</v>
      </c>
      <c r="F5" s="248"/>
      <c r="G5" s="248"/>
      <c r="H5" s="248"/>
      <c r="I5" s="248"/>
      <c r="K5"/>
    </row>
    <row r="6" spans="1:17" s="257" customFormat="1">
      <c r="A6"/>
      <c r="B6"/>
      <c r="C6"/>
      <c r="D6" s="555">
        <v>2020</v>
      </c>
      <c r="E6" s="555">
        <v>2021</v>
      </c>
      <c r="F6" s="555">
        <v>2022</v>
      </c>
      <c r="G6" s="555">
        <v>2023</v>
      </c>
      <c r="H6" s="555">
        <v>2024</v>
      </c>
      <c r="I6">
        <v>2025</v>
      </c>
      <c r="J6"/>
      <c r="K6"/>
      <c r="L6"/>
      <c r="M6"/>
      <c r="N6"/>
      <c r="O6"/>
      <c r="P6"/>
      <c r="Q6"/>
    </row>
    <row r="7" spans="1:17" s="554" customFormat="1">
      <c r="A7" s="255" t="s">
        <v>164</v>
      </c>
      <c r="B7" s="255" t="s">
        <v>226</v>
      </c>
      <c r="C7" s="255" t="s">
        <v>407</v>
      </c>
      <c r="D7" s="1287" t="s">
        <v>170</v>
      </c>
      <c r="E7" s="559" t="s">
        <v>170</v>
      </c>
      <c r="F7" s="559" t="s">
        <v>170</v>
      </c>
      <c r="G7" s="572" t="s">
        <v>170</v>
      </c>
      <c r="H7" s="1290" t="s">
        <v>170</v>
      </c>
      <c r="I7" t="s">
        <v>1004</v>
      </c>
      <c r="J7" s="1221"/>
      <c r="K7"/>
      <c r="L7"/>
      <c r="M7"/>
      <c r="N7"/>
      <c r="O7"/>
      <c r="P7"/>
      <c r="Q7" s="404"/>
    </row>
    <row r="8" spans="1:17" s="238" customFormat="1">
      <c r="A8" s="238" t="s">
        <v>158</v>
      </c>
      <c r="B8" s="238">
        <v>7410</v>
      </c>
      <c r="C8" t="s">
        <v>577</v>
      </c>
      <c r="D8" s="1288"/>
      <c r="E8" s="447">
        <v>13000</v>
      </c>
      <c r="F8" s="447">
        <v>24000</v>
      </c>
      <c r="G8" s="573"/>
      <c r="H8" s="447">
        <v>15000</v>
      </c>
      <c r="I8" s="249"/>
      <c r="J8" s="1222"/>
      <c r="K8"/>
      <c r="L8"/>
      <c r="M8"/>
      <c r="N8"/>
      <c r="O8"/>
      <c r="P8"/>
      <c r="Q8"/>
    </row>
    <row r="9" spans="1:17" s="238" customFormat="1">
      <c r="B9">
        <v>7420</v>
      </c>
      <c r="C9" t="s">
        <v>578</v>
      </c>
      <c r="D9" s="1288"/>
      <c r="E9" s="447"/>
      <c r="F9" s="447"/>
      <c r="G9" s="573">
        <v>6667</v>
      </c>
      <c r="H9" s="447">
        <v>3333</v>
      </c>
      <c r="I9" s="249"/>
      <c r="J9" s="1222"/>
      <c r="K9"/>
      <c r="L9"/>
      <c r="M9"/>
      <c r="N9"/>
      <c r="O9"/>
      <c r="P9"/>
      <c r="Q9"/>
    </row>
    <row r="10" spans="1:17" s="238" customFormat="1">
      <c r="B10">
        <v>7430</v>
      </c>
      <c r="C10" t="s">
        <v>579</v>
      </c>
      <c r="D10" s="1288"/>
      <c r="E10" s="447"/>
      <c r="F10" s="447"/>
      <c r="G10" s="573">
        <v>38152.800000000003</v>
      </c>
      <c r="H10" s="447"/>
      <c r="I10" s="249">
        <v>3750</v>
      </c>
      <c r="J10" s="1222"/>
      <c r="K10"/>
      <c r="L10"/>
      <c r="M10"/>
      <c r="N10"/>
      <c r="O10"/>
      <c r="P10"/>
      <c r="Q10"/>
    </row>
    <row r="11" spans="1:17" s="238" customFormat="1">
      <c r="B11">
        <v>7440</v>
      </c>
      <c r="C11" t="s">
        <v>762</v>
      </c>
      <c r="D11" s="1288"/>
      <c r="E11" s="447"/>
      <c r="F11" s="447"/>
      <c r="G11" s="573"/>
      <c r="H11" s="447">
        <v>27000</v>
      </c>
      <c r="I11" s="249">
        <v>0</v>
      </c>
      <c r="J11" s="1223"/>
      <c r="K11"/>
      <c r="L11"/>
      <c r="M11"/>
      <c r="N11"/>
      <c r="O11"/>
      <c r="P11"/>
      <c r="Q11"/>
    </row>
    <row r="12" spans="1:17" s="238" customFormat="1">
      <c r="B12">
        <v>7450</v>
      </c>
      <c r="C12" t="s">
        <v>763</v>
      </c>
      <c r="D12" s="1288"/>
      <c r="E12" s="447"/>
      <c r="F12" s="447"/>
      <c r="G12" s="573"/>
      <c r="H12" s="447"/>
      <c r="I12" s="249">
        <v>2074</v>
      </c>
      <c r="J12" s="1223"/>
      <c r="K12"/>
      <c r="L12"/>
      <c r="M12"/>
      <c r="N12"/>
      <c r="O12"/>
      <c r="P12"/>
      <c r="Q12"/>
    </row>
    <row r="13" spans="1:17" s="238" customFormat="1">
      <c r="B13" s="238">
        <v>7480</v>
      </c>
      <c r="C13" t="s">
        <v>285</v>
      </c>
      <c r="D13" s="1288"/>
      <c r="E13" s="447"/>
      <c r="F13" s="447">
        <v>15000</v>
      </c>
      <c r="G13" s="573"/>
      <c r="H13" s="447"/>
      <c r="I13" s="249">
        <v>912.5</v>
      </c>
      <c r="J13" s="1223"/>
      <c r="K13"/>
      <c r="L13"/>
      <c r="M13"/>
      <c r="N13"/>
      <c r="O13"/>
      <c r="P13"/>
      <c r="Q13"/>
    </row>
    <row r="14" spans="1:17" s="238" customFormat="1">
      <c r="B14" s="238">
        <v>7581</v>
      </c>
      <c r="C14" t="s">
        <v>277</v>
      </c>
      <c r="D14" s="1288">
        <v>560</v>
      </c>
      <c r="E14" s="447">
        <v>1600</v>
      </c>
      <c r="F14" s="447">
        <v>870</v>
      </c>
      <c r="G14" s="573">
        <v>1320</v>
      </c>
      <c r="H14" s="447">
        <v>1410</v>
      </c>
      <c r="I14" s="249">
        <v>1500</v>
      </c>
      <c r="J14" s="1223"/>
      <c r="K14"/>
      <c r="L14"/>
      <c r="M14"/>
      <c r="N14"/>
      <c r="O14"/>
      <c r="P14"/>
      <c r="Q14"/>
    </row>
    <row r="15" spans="1:17" s="238" customFormat="1">
      <c r="B15">
        <v>7588</v>
      </c>
      <c r="C15" t="s">
        <v>60</v>
      </c>
      <c r="D15" s="1288"/>
      <c r="E15" s="447"/>
      <c r="F15" s="447"/>
      <c r="G15" s="573"/>
      <c r="H15" s="447">
        <v>0.34000000000014552</v>
      </c>
      <c r="I15" s="249"/>
      <c r="J15" s="1223"/>
      <c r="K15"/>
      <c r="L15"/>
      <c r="M15"/>
      <c r="N15"/>
      <c r="O15"/>
      <c r="P15"/>
      <c r="Q15"/>
    </row>
    <row r="16" spans="1:17" s="238" customFormat="1">
      <c r="B16">
        <v>7660</v>
      </c>
      <c r="C16" t="s">
        <v>61</v>
      </c>
      <c r="D16" s="1288"/>
      <c r="E16" s="447"/>
      <c r="F16" s="447"/>
      <c r="G16" s="573">
        <v>0.34</v>
      </c>
      <c r="H16" s="447">
        <v>0.47</v>
      </c>
      <c r="I16" s="249">
        <v>0.34</v>
      </c>
      <c r="J16" s="1223"/>
      <c r="K16"/>
      <c r="L16"/>
      <c r="M16"/>
      <c r="N16"/>
      <c r="O16"/>
      <c r="P16"/>
      <c r="Q16"/>
    </row>
    <row r="17" spans="1:17" s="238" customFormat="1">
      <c r="B17">
        <v>7770</v>
      </c>
      <c r="C17" t="s">
        <v>65</v>
      </c>
      <c r="D17" s="1288"/>
      <c r="E17" s="447"/>
      <c r="F17" s="447">
        <v>192.94000000000125</v>
      </c>
      <c r="G17" s="573"/>
      <c r="H17" s="447">
        <v>65</v>
      </c>
      <c r="I17" s="249">
        <v>1200</v>
      </c>
      <c r="J17" s="1223"/>
      <c r="K17"/>
      <c r="L17"/>
      <c r="M17"/>
      <c r="N17"/>
      <c r="O17"/>
      <c r="P17"/>
      <c r="Q17"/>
    </row>
    <row r="18" spans="1:17" s="238" customFormat="1">
      <c r="B18" s="238">
        <v>7771</v>
      </c>
      <c r="C18" t="s">
        <v>281</v>
      </c>
      <c r="D18" s="1288">
        <v>240</v>
      </c>
      <c r="E18" s="447">
        <v>8654</v>
      </c>
      <c r="F18" s="447">
        <v>9173.2000000000007</v>
      </c>
      <c r="G18" s="573">
        <v>1295</v>
      </c>
      <c r="H18" s="447">
        <v>2925</v>
      </c>
      <c r="I18" s="249">
        <v>5229.78</v>
      </c>
      <c r="J18" s="1223"/>
      <c r="K18"/>
      <c r="L18"/>
      <c r="M18"/>
      <c r="N18"/>
      <c r="O18"/>
      <c r="P18"/>
      <c r="Q18"/>
    </row>
    <row r="19" spans="1:17" s="238" customFormat="1">
      <c r="B19">
        <v>7772</v>
      </c>
      <c r="C19" t="s">
        <v>69</v>
      </c>
      <c r="D19" s="1288"/>
      <c r="E19" s="447"/>
      <c r="F19" s="447"/>
      <c r="G19" s="573"/>
      <c r="H19" s="447"/>
      <c r="I19" s="249">
        <v>912.5</v>
      </c>
      <c r="J19" s="1223"/>
      <c r="K19"/>
      <c r="L19"/>
      <c r="M19"/>
      <c r="N19"/>
      <c r="O19"/>
      <c r="P19"/>
      <c r="Q19"/>
    </row>
    <row r="20" spans="1:17" s="238" customFormat="1">
      <c r="B20">
        <v>8700</v>
      </c>
      <c r="C20" t="s">
        <v>144</v>
      </c>
      <c r="D20" s="1288">
        <v>8320</v>
      </c>
      <c r="E20" s="447">
        <v>12440</v>
      </c>
      <c r="F20" s="447">
        <v>1800</v>
      </c>
      <c r="G20" s="573">
        <v>10000</v>
      </c>
      <c r="H20" s="447"/>
      <c r="I20" s="249"/>
      <c r="J20" s="1223"/>
      <c r="K20"/>
      <c r="L20"/>
      <c r="M20"/>
      <c r="N20"/>
      <c r="O20"/>
      <c r="P20"/>
      <c r="Q20"/>
    </row>
    <row r="21" spans="1:17" s="238" customFormat="1">
      <c r="B21">
        <v>8710</v>
      </c>
      <c r="C21" t="s">
        <v>146</v>
      </c>
      <c r="D21" s="1288">
        <v>400</v>
      </c>
      <c r="E21" s="447">
        <v>6602</v>
      </c>
      <c r="F21" s="447"/>
      <c r="G21" s="573"/>
      <c r="H21" s="447"/>
      <c r="I21" s="249">
        <v>1825</v>
      </c>
      <c r="J21" s="1223"/>
      <c r="K21"/>
      <c r="L21"/>
      <c r="M21"/>
      <c r="N21"/>
      <c r="O21"/>
      <c r="P21"/>
      <c r="Q21"/>
    </row>
    <row r="22" spans="1:17" s="238" customFormat="1">
      <c r="A22" s="253" t="s">
        <v>402</v>
      </c>
      <c r="B22" s="253"/>
      <c r="C22" s="253"/>
      <c r="D22" s="1289">
        <v>9520</v>
      </c>
      <c r="E22" s="448">
        <v>42296</v>
      </c>
      <c r="F22" s="448">
        <v>51036.14</v>
      </c>
      <c r="G22" s="574">
        <v>57435.14</v>
      </c>
      <c r="H22" s="448">
        <v>49733.81</v>
      </c>
      <c r="I22" s="251">
        <v>17404.12</v>
      </c>
      <c r="J22" s="1224"/>
      <c r="K22"/>
      <c r="L22"/>
      <c r="M22"/>
      <c r="N22"/>
      <c r="O22"/>
      <c r="P22"/>
      <c r="Q22"/>
    </row>
    <row r="23" spans="1:17" s="238" customFormat="1">
      <c r="A23" s="238" t="s">
        <v>157</v>
      </c>
      <c r="B23" s="238">
        <v>6040</v>
      </c>
      <c r="C23" t="s">
        <v>284</v>
      </c>
      <c r="D23" s="1288">
        <v>-240</v>
      </c>
      <c r="E23" s="447">
        <v>-240</v>
      </c>
      <c r="F23" s="447"/>
      <c r="G23" s="573"/>
      <c r="H23" s="447"/>
      <c r="I23" s="249">
        <v>-1200</v>
      </c>
      <c r="J23" s="1222"/>
      <c r="K23"/>
      <c r="L23"/>
      <c r="M23"/>
      <c r="N23"/>
      <c r="O23"/>
      <c r="P23"/>
      <c r="Q23"/>
    </row>
    <row r="24" spans="1:17" s="419" customFormat="1">
      <c r="A24" s="238"/>
      <c r="B24" s="238">
        <v>6064</v>
      </c>
      <c r="C24" t="s">
        <v>278</v>
      </c>
      <c r="D24" s="1288">
        <v>-50.279999999999994</v>
      </c>
      <c r="E24" s="447">
        <v>-314.74</v>
      </c>
      <c r="F24" s="447">
        <v>-17.16</v>
      </c>
      <c r="G24" s="573">
        <v>-73.09</v>
      </c>
      <c r="H24" s="447"/>
      <c r="I24" s="249">
        <v>-73.09</v>
      </c>
      <c r="J24"/>
      <c r="K24"/>
      <c r="L24"/>
      <c r="M24"/>
      <c r="N24"/>
      <c r="O24"/>
      <c r="P24"/>
      <c r="Q24"/>
    </row>
    <row r="25" spans="1:17">
      <c r="A25" s="238"/>
      <c r="B25">
        <v>6068</v>
      </c>
      <c r="C25" t="s">
        <v>36</v>
      </c>
      <c r="D25" s="1288"/>
      <c r="E25" s="447">
        <v>-500.39000000000004</v>
      </c>
      <c r="F25" s="447">
        <v>-275</v>
      </c>
      <c r="G25" s="573"/>
      <c r="H25" s="447">
        <v>-38.880000000000003</v>
      </c>
      <c r="I25" s="249"/>
      <c r="K25"/>
    </row>
    <row r="26" spans="1:17" s="246" customFormat="1">
      <c r="A26" s="238"/>
      <c r="B26" s="238">
        <v>6070</v>
      </c>
      <c r="C26" t="s">
        <v>286</v>
      </c>
      <c r="D26" s="1288"/>
      <c r="E26" s="447">
        <v>-3585.2000000000003</v>
      </c>
      <c r="F26" s="447"/>
      <c r="G26" s="573"/>
      <c r="H26" s="447"/>
      <c r="I26" s="249"/>
      <c r="J26"/>
      <c r="K26"/>
      <c r="L26"/>
      <c r="M26"/>
      <c r="N26"/>
      <c r="O26"/>
      <c r="P26"/>
      <c r="Q26"/>
    </row>
    <row r="27" spans="1:17">
      <c r="A27" s="238"/>
      <c r="B27" s="238">
        <v>6071</v>
      </c>
      <c r="C27" t="s">
        <v>287</v>
      </c>
      <c r="D27" s="1288"/>
      <c r="E27" s="447">
        <v>-2497.6999999999998</v>
      </c>
      <c r="F27" s="447">
        <v>-2250</v>
      </c>
      <c r="G27" s="573"/>
      <c r="H27" s="447"/>
      <c r="I27" s="249"/>
      <c r="K27"/>
    </row>
    <row r="28" spans="1:17" s="246" customFormat="1">
      <c r="A28" s="238"/>
      <c r="B28" s="238">
        <v>6110</v>
      </c>
      <c r="C28" t="s">
        <v>396</v>
      </c>
      <c r="D28" s="1288"/>
      <c r="E28" s="447">
        <v>-11397.8</v>
      </c>
      <c r="F28" s="447">
        <v>-25666</v>
      </c>
      <c r="G28" s="573">
        <v>-61000</v>
      </c>
      <c r="H28" s="447">
        <v>-30498.01</v>
      </c>
      <c r="I28" s="249">
        <v>-30624</v>
      </c>
      <c r="J28"/>
      <c r="K28"/>
      <c r="L28"/>
      <c r="M28"/>
      <c r="N28"/>
      <c r="O28"/>
      <c r="P28"/>
      <c r="Q28"/>
    </row>
    <row r="29" spans="1:17" s="246" customFormat="1">
      <c r="A29" s="238"/>
      <c r="B29" s="238">
        <v>6160</v>
      </c>
      <c r="C29" t="s">
        <v>279</v>
      </c>
      <c r="D29" s="1288">
        <v>-32.03</v>
      </c>
      <c r="E29" s="447">
        <v>-109.7</v>
      </c>
      <c r="F29" s="447">
        <v>-124.55</v>
      </c>
      <c r="G29" s="573">
        <v>-116.1</v>
      </c>
      <c r="H29" s="447">
        <v>116.1</v>
      </c>
      <c r="I29" s="249">
        <v>-116.1</v>
      </c>
      <c r="J29"/>
      <c r="K29"/>
      <c r="L29"/>
      <c r="M29"/>
      <c r="N29"/>
      <c r="O29"/>
      <c r="P29"/>
      <c r="Q29"/>
    </row>
    <row r="30" spans="1:17" s="246" customFormat="1">
      <c r="A30" s="238"/>
      <c r="B30">
        <v>6228</v>
      </c>
      <c r="C30" t="s">
        <v>432</v>
      </c>
      <c r="D30" s="1288"/>
      <c r="E30" s="447"/>
      <c r="F30" s="447"/>
      <c r="G30" s="573"/>
      <c r="H30" s="447"/>
      <c r="I30" s="249">
        <v>-3150</v>
      </c>
      <c r="J30"/>
      <c r="K30"/>
      <c r="L30"/>
      <c r="M30"/>
      <c r="N30"/>
      <c r="O30"/>
      <c r="P30"/>
      <c r="Q30"/>
    </row>
    <row r="31" spans="1:17">
      <c r="A31" s="238"/>
      <c r="B31" s="238">
        <v>6230</v>
      </c>
      <c r="C31" t="s">
        <v>409</v>
      </c>
      <c r="D31" s="1288"/>
      <c r="E31" s="447"/>
      <c r="F31" s="447">
        <v>-653.6400000000001</v>
      </c>
      <c r="G31" s="573">
        <v>-768.03000000000009</v>
      </c>
      <c r="H31" s="447">
        <v>-1140.1099999999999</v>
      </c>
      <c r="I31" s="249">
        <v>-1466.6560000000002</v>
      </c>
      <c r="K31"/>
    </row>
    <row r="32" spans="1:17" s="249" customFormat="1">
      <c r="A32" s="238"/>
      <c r="B32">
        <v>6240</v>
      </c>
      <c r="C32" t="s">
        <v>155</v>
      </c>
      <c r="D32" s="1288"/>
      <c r="E32" s="447">
        <v>-615.70000000000005</v>
      </c>
      <c r="F32" s="447">
        <v>-62.9</v>
      </c>
      <c r="G32" s="573"/>
      <c r="H32" s="447"/>
      <c r="J32"/>
      <c r="K32"/>
      <c r="L32"/>
      <c r="M32"/>
      <c r="N32"/>
      <c r="O32"/>
      <c r="P32"/>
      <c r="Q32"/>
    </row>
    <row r="33" spans="1:17" s="249" customFormat="1">
      <c r="A33" s="238"/>
      <c r="B33">
        <v>6250</v>
      </c>
      <c r="C33" t="s">
        <v>313</v>
      </c>
      <c r="D33" s="1288"/>
      <c r="E33" s="447"/>
      <c r="F33" s="447">
        <v>-3313.64</v>
      </c>
      <c r="G33" s="573">
        <v>-1337.86</v>
      </c>
      <c r="H33" s="447">
        <v>-5385.37</v>
      </c>
      <c r="I33" s="249">
        <v>-1348.24</v>
      </c>
      <c r="J33"/>
      <c r="K33"/>
      <c r="L33"/>
      <c r="M33"/>
      <c r="N33"/>
      <c r="O33"/>
      <c r="P33"/>
      <c r="Q33"/>
    </row>
    <row r="34" spans="1:17" s="249" customFormat="1">
      <c r="A34" s="238"/>
      <c r="B34" s="238">
        <v>6256</v>
      </c>
      <c r="C34" t="s">
        <v>282</v>
      </c>
      <c r="D34" s="1288"/>
      <c r="E34" s="447">
        <v>-1588.64</v>
      </c>
      <c r="F34" s="447"/>
      <c r="G34" s="573"/>
      <c r="H34" s="447">
        <v>-300</v>
      </c>
      <c r="I34" s="249">
        <v>-1500</v>
      </c>
      <c r="J34"/>
      <c r="K34"/>
      <c r="L34"/>
      <c r="M34"/>
      <c r="N34"/>
      <c r="O34"/>
      <c r="P34"/>
      <c r="Q34"/>
    </row>
    <row r="35" spans="1:17" s="249" customFormat="1">
      <c r="A35" s="238"/>
      <c r="B35" s="238">
        <v>6261</v>
      </c>
      <c r="C35" t="s">
        <v>280</v>
      </c>
      <c r="D35" s="1288">
        <v>-394.48999999999995</v>
      </c>
      <c r="E35" s="447"/>
      <c r="F35" s="447">
        <v>-69.599999999999994</v>
      </c>
      <c r="G35" s="573">
        <v>-134.72</v>
      </c>
      <c r="H35" s="447">
        <v>-225.92000000000002</v>
      </c>
      <c r="I35" s="249">
        <v>-13.92</v>
      </c>
      <c r="J35"/>
      <c r="K35"/>
      <c r="L35"/>
      <c r="M35"/>
      <c r="N35"/>
      <c r="O35"/>
      <c r="P35"/>
      <c r="Q35"/>
    </row>
    <row r="36" spans="1:17" s="249" customFormat="1">
      <c r="A36" s="238"/>
      <c r="B36" s="238">
        <v>6262</v>
      </c>
      <c r="C36" t="s">
        <v>623</v>
      </c>
      <c r="D36" s="1288"/>
      <c r="E36" s="447">
        <v>-391.24</v>
      </c>
      <c r="F36" s="447"/>
      <c r="G36" s="573"/>
      <c r="H36" s="447"/>
      <c r="J36"/>
      <c r="K36"/>
      <c r="L36"/>
      <c r="M36"/>
      <c r="N36"/>
      <c r="O36"/>
      <c r="P36"/>
      <c r="Q36"/>
    </row>
    <row r="37" spans="1:17" s="249" customFormat="1">
      <c r="A37" s="238"/>
      <c r="B37" s="238">
        <v>6270</v>
      </c>
      <c r="C37" t="s">
        <v>283</v>
      </c>
      <c r="D37" s="1288"/>
      <c r="E37" s="447">
        <v>-237.15</v>
      </c>
      <c r="F37" s="447">
        <v>-73.599999999999994</v>
      </c>
      <c r="G37" s="573"/>
      <c r="H37" s="447">
        <v>-57.629999999999995</v>
      </c>
      <c r="J37"/>
      <c r="K37"/>
      <c r="L37"/>
      <c r="M37"/>
      <c r="N37"/>
      <c r="O37"/>
      <c r="P37"/>
      <c r="Q37"/>
    </row>
    <row r="38" spans="1:17" s="249" customFormat="1">
      <c r="A38" s="238"/>
      <c r="B38">
        <v>6280</v>
      </c>
      <c r="C38" t="s">
        <v>34</v>
      </c>
      <c r="D38" s="1288"/>
      <c r="E38" s="447"/>
      <c r="F38" s="447">
        <v>-192.94000000000125</v>
      </c>
      <c r="G38" s="573"/>
      <c r="H38" s="447"/>
      <c r="J38"/>
      <c r="K38"/>
      <c r="L38"/>
      <c r="M38"/>
      <c r="N38"/>
      <c r="O38"/>
      <c r="P38"/>
      <c r="Q38"/>
    </row>
    <row r="39" spans="1:17" s="249" customFormat="1">
      <c r="A39" s="238"/>
      <c r="B39" s="238">
        <v>6281</v>
      </c>
      <c r="C39" t="s">
        <v>340</v>
      </c>
      <c r="D39" s="1288">
        <v>-31</v>
      </c>
      <c r="E39" s="447">
        <v>-30</v>
      </c>
      <c r="F39" s="447">
        <v>-30</v>
      </c>
      <c r="G39" s="573">
        <v>-50</v>
      </c>
      <c r="H39" s="447"/>
      <c r="I39" s="249">
        <v>-50</v>
      </c>
      <c r="J39"/>
      <c r="K39"/>
      <c r="L39"/>
      <c r="M39"/>
      <c r="N39"/>
      <c r="O39"/>
      <c r="P39"/>
      <c r="Q39"/>
    </row>
    <row r="40" spans="1:17" s="249" customFormat="1">
      <c r="A40" s="238"/>
      <c r="B40">
        <v>6282</v>
      </c>
      <c r="C40" t="s">
        <v>126</v>
      </c>
      <c r="D40" s="1288">
        <v>-20</v>
      </c>
      <c r="E40" s="447"/>
      <c r="F40" s="447"/>
      <c r="G40" s="573"/>
      <c r="H40" s="447"/>
      <c r="J40"/>
      <c r="K40"/>
      <c r="L40"/>
      <c r="M40"/>
      <c r="N40"/>
      <c r="O40"/>
      <c r="P40"/>
      <c r="Q40"/>
    </row>
    <row r="41" spans="1:17" s="249" customFormat="1">
      <c r="A41" s="238"/>
      <c r="B41">
        <v>6700</v>
      </c>
      <c r="C41" t="s">
        <v>94</v>
      </c>
      <c r="D41" s="1288"/>
      <c r="E41" s="447"/>
      <c r="F41" s="447">
        <v>-1462.07</v>
      </c>
      <c r="G41" s="573"/>
      <c r="H41" s="447"/>
      <c r="J41"/>
      <c r="K41"/>
      <c r="L41"/>
      <c r="M41"/>
      <c r="N41"/>
      <c r="O41"/>
      <c r="P41"/>
      <c r="Q41"/>
    </row>
    <row r="42" spans="1:17" s="249" customFormat="1">
      <c r="A42" s="238"/>
      <c r="B42">
        <v>8620</v>
      </c>
      <c r="C42" t="s">
        <v>145</v>
      </c>
      <c r="D42" s="1288">
        <v>-400</v>
      </c>
      <c r="E42" s="447">
        <v>-6602</v>
      </c>
      <c r="F42" s="447"/>
      <c r="G42" s="573"/>
      <c r="H42" s="447"/>
      <c r="I42" s="249">
        <v>0</v>
      </c>
      <c r="J42"/>
      <c r="K42"/>
      <c r="L42"/>
      <c r="M42"/>
      <c r="N42"/>
      <c r="O42"/>
      <c r="P42"/>
      <c r="Q42"/>
    </row>
    <row r="43" spans="1:17" s="249" customFormat="1">
      <c r="A43" s="238"/>
      <c r="B43">
        <v>8640</v>
      </c>
      <c r="C43" t="s">
        <v>147</v>
      </c>
      <c r="D43" s="1288">
        <v>-8320</v>
      </c>
      <c r="E43" s="447">
        <v>-12440</v>
      </c>
      <c r="F43" s="447">
        <v>-1800</v>
      </c>
      <c r="G43" s="573">
        <v>-10000</v>
      </c>
      <c r="H43" s="447"/>
      <c r="J43"/>
      <c r="K43"/>
      <c r="L43"/>
      <c r="M43"/>
      <c r="N43"/>
      <c r="O43"/>
      <c r="P43"/>
      <c r="Q43"/>
    </row>
    <row r="44" spans="1:17" s="249" customFormat="1">
      <c r="A44" s="253" t="s">
        <v>403</v>
      </c>
      <c r="B44" s="253"/>
      <c r="C44" s="253"/>
      <c r="D44" s="1289">
        <v>-9487.7999999999993</v>
      </c>
      <c r="E44" s="448">
        <v>-40550.26</v>
      </c>
      <c r="F44" s="448">
        <v>-35991.1</v>
      </c>
      <c r="G44" s="574">
        <v>-73479.799999999988</v>
      </c>
      <c r="H44" s="448">
        <v>-37529.82</v>
      </c>
      <c r="I44" s="251">
        <v>-39542.006000000001</v>
      </c>
      <c r="J44"/>
      <c r="K44"/>
      <c r="L44"/>
      <c r="M44"/>
      <c r="N44"/>
      <c r="O44"/>
      <c r="P44"/>
      <c r="Q44"/>
    </row>
    <row r="45" spans="1:17" s="249" customFormat="1" ht="18.5">
      <c r="A45" s="1210" t="s">
        <v>165</v>
      </c>
      <c r="B45" s="1210"/>
      <c r="C45" s="1210"/>
      <c r="D45" s="1291">
        <v>32.199999999998909</v>
      </c>
      <c r="E45" s="1211">
        <v>1745.7400000000052</v>
      </c>
      <c r="F45" s="1211">
        <v>15045.039999999997</v>
      </c>
      <c r="G45" s="1212">
        <v>-16044.659999999996</v>
      </c>
      <c r="H45" s="1211">
        <v>12203.990000000002</v>
      </c>
      <c r="I45" s="1477">
        <v>-22137.885999999999</v>
      </c>
      <c r="J45"/>
      <c r="K45"/>
      <c r="L45"/>
      <c r="M45"/>
      <c r="N45"/>
      <c r="O45"/>
      <c r="P45"/>
    </row>
    <row r="46" spans="1:17" s="249" customFormat="1">
      <c r="A46"/>
      <c r="B46"/>
      <c r="C46"/>
      <c r="D46"/>
      <c r="E46"/>
      <c r="F46"/>
      <c r="G46"/>
      <c r="H46"/>
      <c r="I46" s="725"/>
      <c r="J46"/>
      <c r="K46"/>
      <c r="L46"/>
      <c r="M46"/>
      <c r="N46"/>
      <c r="O46"/>
      <c r="P46"/>
    </row>
    <row r="47" spans="1:17" ht="16" thickBot="1">
      <c r="B47"/>
      <c r="C47"/>
      <c r="D47"/>
      <c r="E47"/>
      <c r="F47"/>
      <c r="K47"/>
    </row>
    <row r="48" spans="1:17" s="419" customFormat="1">
      <c r="A48" s="481" t="s">
        <v>583</v>
      </c>
      <c r="B48" s="482"/>
      <c r="C48" s="482"/>
      <c r="D48" s="563">
        <v>306.08999999999997</v>
      </c>
      <c r="E48" s="498">
        <v>338.29</v>
      </c>
      <c r="F48" s="498">
        <v>2084.0300000000002</v>
      </c>
      <c r="G48" s="565">
        <v>17129.07</v>
      </c>
      <c r="H48" s="903">
        <f>+G50</f>
        <v>1084.4100000000035</v>
      </c>
      <c r="I48" s="1479">
        <f>+H53-H52</f>
        <v>29632.400000000005</v>
      </c>
      <c r="J48"/>
    </row>
    <row r="49" spans="1:11">
      <c r="A49" s="483" t="s">
        <v>625</v>
      </c>
      <c r="B49" s="484"/>
      <c r="C49" s="484"/>
      <c r="D49" s="566">
        <f>D45</f>
        <v>32.199999999998909</v>
      </c>
      <c r="E49" s="566">
        <f t="shared" ref="E49:I49" si="0">E45</f>
        <v>1745.7400000000052</v>
      </c>
      <c r="F49" s="566">
        <f t="shared" si="0"/>
        <v>15045.039999999997</v>
      </c>
      <c r="G49" s="566">
        <f t="shared" si="0"/>
        <v>-16044.659999999996</v>
      </c>
      <c r="H49" s="566">
        <f t="shared" si="0"/>
        <v>12203.990000000002</v>
      </c>
      <c r="I49" s="1218">
        <f t="shared" si="0"/>
        <v>-22137.885999999999</v>
      </c>
      <c r="K49"/>
    </row>
    <row r="50" spans="1:11" s="246" customFormat="1">
      <c r="A50" s="420" t="s">
        <v>405</v>
      </c>
      <c r="B50" s="421"/>
      <c r="C50" s="421"/>
      <c r="D50" s="567">
        <f>+D49+D48</f>
        <v>338.28999999999888</v>
      </c>
      <c r="E50" s="501">
        <f t="shared" ref="E50:G50" si="1">+E49+E48</f>
        <v>2084.0300000000052</v>
      </c>
      <c r="F50" s="501">
        <f t="shared" si="1"/>
        <v>17129.069999999996</v>
      </c>
      <c r="G50" s="569">
        <f t="shared" si="1"/>
        <v>1084.4100000000035</v>
      </c>
      <c r="H50" s="904">
        <f>+H49+H48</f>
        <v>13288.400000000005</v>
      </c>
      <c r="I50" s="1213">
        <f>+I49+I48</f>
        <v>7494.5140000000065</v>
      </c>
      <c r="J50"/>
    </row>
    <row r="51" spans="1:11" s="419" customFormat="1">
      <c r="A51" s="1429"/>
      <c r="B51" s="804"/>
      <c r="C51" s="804" t="s">
        <v>1003</v>
      </c>
      <c r="D51" s="1430"/>
      <c r="E51" s="1431"/>
      <c r="F51" s="1431"/>
      <c r="G51" s="1432"/>
      <c r="H51" s="1433">
        <f>16344</f>
        <v>16344</v>
      </c>
      <c r="I51" s="1434"/>
    </row>
    <row r="52" spans="1:11" s="419" customFormat="1" ht="16" thickBot="1">
      <c r="A52" s="1429"/>
      <c r="B52" s="804"/>
      <c r="C52" s="804" t="s">
        <v>991</v>
      </c>
      <c r="D52" s="1430"/>
      <c r="E52" s="1431"/>
      <c r="F52" s="1431"/>
      <c r="G52" s="1432"/>
      <c r="H52" s="1480">
        <v>-26973</v>
      </c>
      <c r="I52" s="1434"/>
    </row>
    <row r="53" spans="1:11" s="246" customFormat="1" ht="16" thickBot="1">
      <c r="A53" s="1428" t="s">
        <v>926</v>
      </c>
      <c r="B53" s="1228"/>
      <c r="C53" s="1228"/>
      <c r="D53" s="1229">
        <f>+D50</f>
        <v>338.28999999999888</v>
      </c>
      <c r="E53" s="1229">
        <f t="shared" ref="E53:G53" si="2">+E50</f>
        <v>2084.0300000000052</v>
      </c>
      <c r="F53" s="1229">
        <f t="shared" si="2"/>
        <v>17129.069999999996</v>
      </c>
      <c r="G53" s="1229">
        <f t="shared" si="2"/>
        <v>1084.4100000000035</v>
      </c>
      <c r="H53" s="1481">
        <f>SUM(H50:H52)</f>
        <v>2659.4000000000051</v>
      </c>
      <c r="I53" s="1230">
        <f>SUM(I50:I52)</f>
        <v>7494.5140000000065</v>
      </c>
    </row>
    <row r="54" spans="1:11" s="507" customFormat="1" ht="16" thickBot="1">
      <c r="A54" s="793"/>
      <c r="B54" s="794"/>
      <c r="C54" s="794"/>
      <c r="D54" s="908"/>
      <c r="E54" s="909"/>
      <c r="F54" s="909"/>
      <c r="G54" s="910"/>
      <c r="H54" s="911"/>
      <c r="I54" s="1219"/>
      <c r="J54" s="1222"/>
    </row>
    <row r="55" spans="1:11" s="246" customFormat="1" ht="16" customHeight="1">
      <c r="A55" s="485" t="s">
        <v>526</v>
      </c>
      <c r="B55" s="486"/>
      <c r="C55" s="486"/>
      <c r="D55" s="556"/>
      <c r="E55" s="487"/>
      <c r="F55" s="487">
        <v>-15</v>
      </c>
      <c r="G55" s="560">
        <v>-15</v>
      </c>
      <c r="H55" s="905">
        <v>-15</v>
      </c>
      <c r="I55" s="1214">
        <v>-15</v>
      </c>
      <c r="J55"/>
    </row>
    <row r="56" spans="1:11" s="246" customFormat="1" ht="16" customHeight="1">
      <c r="A56" s="489" t="s">
        <v>398</v>
      </c>
      <c r="B56" s="490"/>
      <c r="C56" s="490"/>
      <c r="D56" s="557"/>
      <c r="E56" s="491">
        <v>-124.55</v>
      </c>
      <c r="F56" s="491"/>
      <c r="G56" s="561"/>
      <c r="H56" s="906"/>
      <c r="I56" s="1220"/>
    </row>
    <row r="57" spans="1:11" s="246" customFormat="1" ht="16" customHeight="1">
      <c r="A57" s="489" t="s">
        <v>896</v>
      </c>
      <c r="B57" s="490"/>
      <c r="C57" s="490"/>
      <c r="D57" s="557"/>
      <c r="E57" s="491"/>
      <c r="F57" s="491"/>
      <c r="G57" s="561"/>
      <c r="H57" s="906">
        <f>'1 BILAN PAR PROJET 2024'!E41</f>
        <v>5082</v>
      </c>
      <c r="I57" s="1220"/>
      <c r="J57" s="1222"/>
    </row>
    <row r="58" spans="1:11" s="246" customFormat="1" ht="16" customHeight="1">
      <c r="A58" s="489" t="s">
        <v>906</v>
      </c>
      <c r="B58" s="490"/>
      <c r="C58" s="490"/>
      <c r="D58" s="557"/>
      <c r="E58" s="491"/>
      <c r="F58" s="491"/>
      <c r="G58" s="561"/>
      <c r="H58" s="906">
        <f>'1 BILAN PAR PROJET 2024'!E42</f>
        <v>6847.72</v>
      </c>
      <c r="I58" s="1220"/>
      <c r="J58" s="1222"/>
    </row>
    <row r="59" spans="1:11" s="246" customFormat="1" ht="15.5" customHeight="1">
      <c r="A59" s="489" t="s">
        <v>1012</v>
      </c>
      <c r="B59" s="490"/>
      <c r="C59" s="490"/>
      <c r="D59" s="557"/>
      <c r="E59" s="491"/>
      <c r="F59" s="491"/>
      <c r="G59" s="561"/>
      <c r="H59" s="906">
        <f>-H52-H51</f>
        <v>10629</v>
      </c>
      <c r="I59" s="1220"/>
      <c r="J59" s="1222"/>
    </row>
    <row r="60" spans="1:11" s="246" customFormat="1" ht="16" customHeight="1">
      <c r="A60" s="489" t="s">
        <v>908</v>
      </c>
      <c r="B60" s="490"/>
      <c r="C60" s="490"/>
      <c r="D60" s="557"/>
      <c r="E60" s="491"/>
      <c r="F60" s="491"/>
      <c r="G60" s="561"/>
      <c r="H60" s="906">
        <f>'1 BILAN PAR PROJET 2024'!E44</f>
        <v>3169.39</v>
      </c>
      <c r="I60" s="1220"/>
      <c r="J60" s="1226"/>
    </row>
    <row r="61" spans="1:11" s="246" customFormat="1" ht="16" thickBot="1">
      <c r="A61" s="437" t="s">
        <v>626</v>
      </c>
      <c r="B61" s="438"/>
      <c r="C61" s="438"/>
      <c r="D61" s="558">
        <f>D53+SUM(D55:D60)</f>
        <v>338.28999999999888</v>
      </c>
      <c r="E61" s="439">
        <f t="shared" ref="E61:I61" si="3">E53+SUM(E55:E60)</f>
        <v>1959.4800000000052</v>
      </c>
      <c r="F61" s="439">
        <f t="shared" si="3"/>
        <v>17114.069999999996</v>
      </c>
      <c r="G61" s="562">
        <f t="shared" si="3"/>
        <v>1069.4100000000035</v>
      </c>
      <c r="H61" s="907">
        <f t="shared" si="3"/>
        <v>28372.510000000006</v>
      </c>
      <c r="I61" s="1215">
        <f t="shared" si="3"/>
        <v>7479.5140000000065</v>
      </c>
      <c r="J61" s="1222"/>
    </row>
    <row r="62" spans="1:11">
      <c r="E62" s="249"/>
      <c r="F62"/>
      <c r="G62" s="553"/>
      <c r="K62"/>
    </row>
    <row r="63" spans="1:11">
      <c r="E63" s="249"/>
      <c r="F63"/>
      <c r="J63" s="1227"/>
      <c r="K63"/>
    </row>
    <row r="64" spans="1:11">
      <c r="E64" s="249"/>
      <c r="F64"/>
      <c r="J64" s="507"/>
      <c r="K64"/>
    </row>
    <row r="65" spans="5:11">
      <c r="E65" s="249"/>
      <c r="F65"/>
      <c r="H65" s="725"/>
      <c r="J65" s="246"/>
      <c r="K65"/>
    </row>
    <row r="66" spans="5:11">
      <c r="E66" s="249"/>
      <c r="F66"/>
      <c r="J66" s="246"/>
      <c r="K66"/>
    </row>
    <row r="67" spans="5:11">
      <c r="J67" s="246"/>
    </row>
    <row r="68" spans="5:11">
      <c r="J68" s="246"/>
    </row>
    <row r="69" spans="5:11">
      <c r="J69" s="246"/>
    </row>
    <row r="70" spans="5:11">
      <c r="J70" s="246"/>
    </row>
    <row r="71" spans="5:11">
      <c r="J71" s="246"/>
    </row>
    <row r="76" spans="5:11">
      <c r="J76" s="725"/>
    </row>
  </sheetData>
  <mergeCells count="1">
    <mergeCell ref="A1:F1"/>
  </mergeCells>
  <pageMargins left="0.31496062992125984" right="0.31496062992125984" top="0.35433070866141736" bottom="0.35433070866141736" header="0.31496062992125984" footer="0.31496062992125984"/>
  <pageSetup paperSize="9" scale="82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02"/>
  <sheetViews>
    <sheetView showGridLines="0" zoomScaleNormal="100" workbookViewId="0">
      <pane ySplit="7" topLeftCell="A8" activePane="bottomLeft" state="frozen"/>
      <selection pane="bottomLeft" activeCell="K11" sqref="K11"/>
    </sheetView>
  </sheetViews>
  <sheetFormatPr baseColWidth="10" defaultRowHeight="15.5" outlineLevelCol="1"/>
  <cols>
    <col min="1" max="1" width="6.33203125" customWidth="1"/>
    <col min="2" max="2" width="10.08203125" style="249" customWidth="1"/>
    <col min="3" max="3" width="20.1640625" style="247" customWidth="1"/>
    <col min="4" max="4" width="11.1640625" style="248" customWidth="1"/>
    <col min="5" max="5" width="10.6640625" style="248" customWidth="1" outlineLevel="1"/>
    <col min="6" max="6" width="10.1640625" style="249" customWidth="1"/>
    <col min="7" max="7" width="9.5" style="447" customWidth="1"/>
    <col min="8" max="8" width="1.6640625" style="249" customWidth="1"/>
    <col min="9" max="10" width="9.5" style="249" customWidth="1" outlineLevel="1"/>
    <col min="11" max="11" width="12.1640625" style="249" customWidth="1" outlineLevel="1"/>
    <col min="12" max="12" width="8.33203125" style="249" customWidth="1"/>
    <col min="13" max="13" width="9.5" style="249" customWidth="1" outlineLevel="1"/>
    <col min="14" max="14" width="3.08203125" style="249" customWidth="1"/>
    <col min="15" max="15" width="8.5" style="249" customWidth="1"/>
    <col min="16" max="17" width="9.5" style="249" customWidth="1"/>
    <col min="18" max="18" width="8.58203125" style="249" customWidth="1"/>
    <col min="19" max="19" width="14.4140625" style="240" customWidth="1"/>
    <col min="20" max="20" width="10.5" customWidth="1"/>
    <col min="21" max="21" width="11.08203125" style="404" customWidth="1"/>
    <col min="22" max="22" width="14.5" style="404" customWidth="1"/>
    <col min="23" max="23" width="15.6640625" style="404" customWidth="1"/>
    <col min="24" max="24" width="12.25" style="67" customWidth="1"/>
    <col min="25" max="25" width="10.6640625" style="67"/>
  </cols>
  <sheetData>
    <row r="1" spans="1:25" s="254" customFormat="1" ht="23.5">
      <c r="A1" s="502" t="s">
        <v>973</v>
      </c>
      <c r="B1" s="502"/>
      <c r="C1" s="502"/>
      <c r="D1" s="502"/>
      <c r="E1" s="502"/>
      <c r="F1" s="502"/>
      <c r="G1" s="502"/>
      <c r="H1" s="502"/>
      <c r="I1" s="502" t="s">
        <v>848</v>
      </c>
      <c r="J1" s="502"/>
      <c r="K1" s="502"/>
      <c r="L1" s="502"/>
      <c r="M1" s="502"/>
      <c r="N1" s="502"/>
      <c r="O1" s="502"/>
      <c r="P1" s="925"/>
      <c r="Q1" s="925"/>
      <c r="R1" s="925"/>
      <c r="S1" s="729"/>
      <c r="U1" s="813"/>
      <c r="V1" s="818" t="s">
        <v>786</v>
      </c>
      <c r="W1" s="813"/>
      <c r="X1" s="816"/>
      <c r="Y1" s="816"/>
    </row>
    <row r="2" spans="1:25" s="254" customFormat="1" ht="23.5">
      <c r="A2" s="502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925"/>
      <c r="Q2" s="925"/>
      <c r="R2" s="925"/>
      <c r="S2" s="729"/>
      <c r="U2" s="813"/>
      <c r="V2" s="818"/>
      <c r="W2" s="813"/>
      <c r="X2" s="816"/>
      <c r="Y2" s="816"/>
    </row>
    <row r="3" spans="1:25" s="254" customFormat="1" ht="23.5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925"/>
      <c r="Q3" s="925"/>
      <c r="R3" s="925"/>
      <c r="S3" s="729"/>
      <c r="U3" s="813"/>
      <c r="V3" s="818"/>
      <c r="W3" s="813"/>
      <c r="X3" s="816"/>
      <c r="Y3" s="816"/>
    </row>
    <row r="4" spans="1:25">
      <c r="A4" s="60" t="s">
        <v>406</v>
      </c>
      <c r="B4" t="s">
        <v>433</v>
      </c>
      <c r="I4" s="60" t="s">
        <v>406</v>
      </c>
      <c r="J4" t="s">
        <v>433</v>
      </c>
      <c r="K4" s="247"/>
      <c r="L4" s="248"/>
      <c r="M4" s="248"/>
    </row>
    <row r="5" spans="1:25" ht="14" customHeight="1">
      <c r="D5" s="963"/>
      <c r="E5" s="963"/>
      <c r="F5" s="947"/>
      <c r="G5" s="965" t="s">
        <v>857</v>
      </c>
      <c r="I5" s="238"/>
      <c r="K5" s="247"/>
      <c r="L5" s="964" t="s">
        <v>555</v>
      </c>
      <c r="M5" s="248"/>
      <c r="O5" s="967" t="s">
        <v>859</v>
      </c>
    </row>
    <row r="6" spans="1:25">
      <c r="A6" s="60" t="s">
        <v>316</v>
      </c>
      <c r="B6"/>
      <c r="C6"/>
      <c r="D6" s="1319" t="s">
        <v>174</v>
      </c>
      <c r="E6" s="60" t="s">
        <v>169</v>
      </c>
      <c r="F6" s="248"/>
      <c r="G6" s="248"/>
      <c r="H6" s="248"/>
      <c r="I6" s="60" t="s">
        <v>316</v>
      </c>
      <c r="J6"/>
      <c r="K6"/>
      <c r="L6" s="948" t="s">
        <v>174</v>
      </c>
      <c r="M6" s="60" t="s">
        <v>169</v>
      </c>
      <c r="N6"/>
      <c r="O6" s="966" t="s">
        <v>858</v>
      </c>
      <c r="P6" s="248"/>
      <c r="Q6" s="248"/>
      <c r="R6" s="238"/>
      <c r="S6" s="240" t="s">
        <v>723</v>
      </c>
      <c r="V6" s="404" t="s">
        <v>776</v>
      </c>
      <c r="Y6" s="820">
        <v>1.524E-3</v>
      </c>
    </row>
    <row r="7" spans="1:25" s="257" customFormat="1">
      <c r="A7"/>
      <c r="B7"/>
      <c r="C7"/>
      <c r="D7" s="862">
        <v>2022</v>
      </c>
      <c r="E7">
        <v>2023</v>
      </c>
      <c r="F7">
        <v>2024</v>
      </c>
      <c r="G7" s="256" t="s">
        <v>165</v>
      </c>
      <c r="H7"/>
      <c r="I7"/>
      <c r="J7"/>
      <c r="K7"/>
      <c r="L7" s="949">
        <v>2023</v>
      </c>
      <c r="M7"/>
      <c r="N7"/>
      <c r="O7" s="931">
        <v>45403</v>
      </c>
      <c r="P7" s="238"/>
      <c r="Q7" s="238"/>
      <c r="R7" s="238"/>
      <c r="S7" s="930">
        <v>45323</v>
      </c>
      <c r="X7" s="817"/>
      <c r="Y7" s="817"/>
    </row>
    <row r="8" spans="1:25" s="238" customFormat="1">
      <c r="A8" s="255" t="s">
        <v>164</v>
      </c>
      <c r="B8" s="255" t="s">
        <v>226</v>
      </c>
      <c r="C8" s="255" t="s">
        <v>407</v>
      </c>
      <c r="D8" s="862" t="s">
        <v>170</v>
      </c>
      <c r="E8" t="s">
        <v>170</v>
      </c>
      <c r="F8" t="s">
        <v>170</v>
      </c>
      <c r="G8" s="256"/>
      <c r="H8"/>
      <c r="I8" s="255" t="s">
        <v>164</v>
      </c>
      <c r="J8" s="255" t="s">
        <v>226</v>
      </c>
      <c r="K8" s="255" t="s">
        <v>407</v>
      </c>
      <c r="L8" s="949" t="s">
        <v>722</v>
      </c>
      <c r="M8"/>
      <c r="N8"/>
      <c r="O8" s="928"/>
      <c r="S8" s="240"/>
      <c r="U8" s="554" t="s">
        <v>777</v>
      </c>
      <c r="V8" s="554" t="s">
        <v>778</v>
      </c>
      <c r="W8" s="554" t="s">
        <v>779</v>
      </c>
      <c r="X8" s="730" t="s">
        <v>784</v>
      </c>
      <c r="Y8" s="819" t="s">
        <v>785</v>
      </c>
    </row>
    <row r="9" spans="1:25" s="238" customFormat="1">
      <c r="A9" s="238" t="s">
        <v>158</v>
      </c>
      <c r="B9" s="238">
        <v>7410</v>
      </c>
      <c r="C9" t="s">
        <v>577</v>
      </c>
      <c r="D9" s="1318">
        <v>15000</v>
      </c>
      <c r="E9" s="249"/>
      <c r="F9" s="249">
        <v>9000</v>
      </c>
      <c r="G9" s="447">
        <v>24000</v>
      </c>
      <c r="H9" s="249"/>
      <c r="I9" s="238" t="s">
        <v>158</v>
      </c>
      <c r="J9" s="238">
        <v>7410</v>
      </c>
      <c r="K9" t="s">
        <v>577</v>
      </c>
      <c r="L9" s="950">
        <v>15000</v>
      </c>
      <c r="M9"/>
      <c r="N9"/>
      <c r="O9" s="1207">
        <f>+L9+D9-G9</f>
        <v>6000</v>
      </c>
      <c r="P9" s="249"/>
      <c r="Q9" s="249"/>
      <c r="S9" s="267">
        <f>L9-E9</f>
        <v>15000</v>
      </c>
      <c r="U9" s="814">
        <v>45075</v>
      </c>
      <c r="V9" s="554" t="s">
        <v>780</v>
      </c>
      <c r="W9" s="554" t="s">
        <v>781</v>
      </c>
      <c r="X9" s="730"/>
      <c r="Y9" s="730">
        <v>685.27</v>
      </c>
    </row>
    <row r="10" spans="1:25" s="238" customFormat="1">
      <c r="B10">
        <v>7420</v>
      </c>
      <c r="C10" t="s">
        <v>578</v>
      </c>
      <c r="D10" s="1314"/>
      <c r="E10" s="249">
        <v>6667</v>
      </c>
      <c r="F10" s="249">
        <v>3333</v>
      </c>
      <c r="G10" s="447">
        <v>10000</v>
      </c>
      <c r="H10" s="249"/>
      <c r="J10">
        <v>7420</v>
      </c>
      <c r="K10" t="s">
        <v>578</v>
      </c>
      <c r="L10" s="950">
        <v>10000</v>
      </c>
      <c r="M10"/>
      <c r="N10"/>
      <c r="O10" s="923">
        <f t="shared" ref="O10:O22" si="0">+L10+D10-G10</f>
        <v>0</v>
      </c>
      <c r="P10" s="249"/>
      <c r="Q10" s="249"/>
      <c r="S10" s="267">
        <f t="shared" ref="S10:S22" si="1">L10-E10</f>
        <v>3333</v>
      </c>
      <c r="U10" s="814">
        <v>45034</v>
      </c>
      <c r="V10" s="554" t="s">
        <v>782</v>
      </c>
      <c r="W10" s="554" t="s">
        <v>783</v>
      </c>
      <c r="X10" s="730">
        <v>203050</v>
      </c>
      <c r="Y10" s="730">
        <f>+X10*Y$6</f>
        <v>309.44819999999999</v>
      </c>
    </row>
    <row r="11" spans="1:25" s="238" customFormat="1">
      <c r="B11">
        <v>7430</v>
      </c>
      <c r="C11" t="s">
        <v>579</v>
      </c>
      <c r="D11" s="1314"/>
      <c r="E11" s="249">
        <v>38152.800000000003</v>
      </c>
      <c r="F11" s="249"/>
      <c r="G11" s="447">
        <v>38152.800000000003</v>
      </c>
      <c r="H11" s="249"/>
      <c r="J11">
        <v>7430</v>
      </c>
      <c r="K11" t="s">
        <v>579</v>
      </c>
      <c r="L11" s="950">
        <v>54497</v>
      </c>
      <c r="M11"/>
      <c r="N11"/>
      <c r="O11" s="923">
        <f t="shared" si="0"/>
        <v>16344.199999999997</v>
      </c>
      <c r="P11" s="249"/>
      <c r="Q11" s="249"/>
      <c r="S11" s="267">
        <f t="shared" si="1"/>
        <v>16344.199999999997</v>
      </c>
      <c r="T11"/>
      <c r="U11" s="814">
        <v>45211</v>
      </c>
      <c r="V11" s="554" t="s">
        <v>787</v>
      </c>
      <c r="W11" s="823" t="s">
        <v>788</v>
      </c>
      <c r="X11" s="730">
        <v>786000</v>
      </c>
      <c r="Y11" s="822">
        <f>+X11*Y$6+2.14</f>
        <v>1200.0040000000001</v>
      </c>
    </row>
    <row r="12" spans="1:25" s="238" customFormat="1">
      <c r="B12">
        <v>7588</v>
      </c>
      <c r="C12" t="s">
        <v>60</v>
      </c>
      <c r="D12" s="1314"/>
      <c r="E12" s="249"/>
      <c r="F12" s="249">
        <v>5500</v>
      </c>
      <c r="G12" s="447">
        <v>5500</v>
      </c>
      <c r="H12" s="249"/>
      <c r="J12" s="582">
        <v>7771</v>
      </c>
      <c r="K12" s="582" t="s">
        <v>281</v>
      </c>
      <c r="L12" s="950">
        <v>5500</v>
      </c>
      <c r="M12"/>
      <c r="N12"/>
      <c r="O12" s="923">
        <f t="shared" si="0"/>
        <v>0</v>
      </c>
      <c r="P12" s="249"/>
      <c r="Q12" s="249"/>
      <c r="S12" s="267">
        <f t="shared" si="1"/>
        <v>5500</v>
      </c>
      <c r="T12"/>
      <c r="U12" s="814">
        <v>45212</v>
      </c>
      <c r="V12" s="554" t="s">
        <v>797</v>
      </c>
      <c r="W12" s="821" t="s">
        <v>789</v>
      </c>
      <c r="X12" s="730">
        <v>14149642</v>
      </c>
      <c r="Y12" s="730">
        <f>+X12*Y$6-0.05</f>
        <v>21564.004408000001</v>
      </c>
    </row>
    <row r="13" spans="1:25" s="238" customFormat="1">
      <c r="B13">
        <v>8700</v>
      </c>
      <c r="C13" t="s">
        <v>144</v>
      </c>
      <c r="D13" s="1314"/>
      <c r="E13" s="249">
        <v>10000</v>
      </c>
      <c r="F13" s="249"/>
      <c r="G13" s="447">
        <v>10000</v>
      </c>
      <c r="H13" s="249"/>
      <c r="J13">
        <v>8700</v>
      </c>
      <c r="K13" t="s">
        <v>144</v>
      </c>
      <c r="L13" s="950">
        <v>10000</v>
      </c>
      <c r="M13"/>
      <c r="N13"/>
      <c r="O13" s="923">
        <f t="shared" si="0"/>
        <v>0</v>
      </c>
      <c r="P13" s="249"/>
      <c r="Q13" s="249"/>
      <c r="S13" s="267">
        <f t="shared" si="1"/>
        <v>0</v>
      </c>
      <c r="U13" s="814">
        <v>45189</v>
      </c>
      <c r="V13" s="554" t="s">
        <v>790</v>
      </c>
      <c r="W13" s="554" t="s">
        <v>791</v>
      </c>
      <c r="X13" s="730">
        <v>1836679.81</v>
      </c>
      <c r="Y13" s="822">
        <f>+X13*Y$6+ 0.9</f>
        <v>2800.00003044</v>
      </c>
    </row>
    <row r="14" spans="1:25" s="238" customFormat="1">
      <c r="A14" s="253" t="s">
        <v>402</v>
      </c>
      <c r="B14" s="253"/>
      <c r="C14" s="253"/>
      <c r="D14" s="1315">
        <v>15000</v>
      </c>
      <c r="E14" s="251">
        <v>54819.8</v>
      </c>
      <c r="F14" s="251">
        <v>17833</v>
      </c>
      <c r="G14" s="448">
        <v>87652.800000000003</v>
      </c>
      <c r="H14" s="251"/>
      <c r="I14" s="253" t="s">
        <v>402</v>
      </c>
      <c r="J14" s="253"/>
      <c r="K14" s="253"/>
      <c r="L14" s="951">
        <v>94997</v>
      </c>
      <c r="M14"/>
      <c r="N14"/>
      <c r="O14" s="924">
        <f t="shared" si="0"/>
        <v>22344.199999999997</v>
      </c>
      <c r="P14" s="249"/>
      <c r="Q14" s="249"/>
      <c r="S14" s="267">
        <f t="shared" si="1"/>
        <v>40177.199999999997</v>
      </c>
      <c r="U14" s="814">
        <v>45278</v>
      </c>
      <c r="V14" s="554" t="s">
        <v>792</v>
      </c>
      <c r="W14" s="554" t="s">
        <v>793</v>
      </c>
      <c r="X14" s="730">
        <f>786000*2</f>
        <v>1572000</v>
      </c>
      <c r="Y14" s="822">
        <f>+X14*Y$6+2.14*2-0.01</f>
        <v>2399.998</v>
      </c>
    </row>
    <row r="15" spans="1:25" s="238" customFormat="1">
      <c r="A15" s="238" t="s">
        <v>157</v>
      </c>
      <c r="B15" s="238">
        <v>6110</v>
      </c>
      <c r="C15" t="s">
        <v>396</v>
      </c>
      <c r="D15" s="1314"/>
      <c r="E15" s="249">
        <v>-61000</v>
      </c>
      <c r="F15" s="249">
        <v>-30082</v>
      </c>
      <c r="G15" s="447">
        <v>-91082</v>
      </c>
      <c r="H15" s="249"/>
      <c r="I15" s="238" t="s">
        <v>157</v>
      </c>
      <c r="J15" s="238">
        <v>6110</v>
      </c>
      <c r="K15" t="s">
        <v>396</v>
      </c>
      <c r="L15" s="950">
        <v>-90797</v>
      </c>
      <c r="M15"/>
      <c r="N15"/>
      <c r="O15" s="923">
        <f t="shared" si="0"/>
        <v>285</v>
      </c>
      <c r="P15" s="249"/>
      <c r="Q15" s="249"/>
      <c r="S15" s="267">
        <f t="shared" si="1"/>
        <v>-29797</v>
      </c>
      <c r="U15" s="814">
        <v>45204</v>
      </c>
      <c r="V15" s="554" t="s">
        <v>792</v>
      </c>
      <c r="W15" s="554" t="s">
        <v>794</v>
      </c>
      <c r="X15" s="730">
        <v>786000</v>
      </c>
      <c r="Y15" s="822">
        <f>+X15*Y$6+2.14</f>
        <v>1200.0040000000001</v>
      </c>
    </row>
    <row r="16" spans="1:25" s="238" customFormat="1">
      <c r="B16" s="238">
        <v>6230</v>
      </c>
      <c r="C16" t="s">
        <v>409</v>
      </c>
      <c r="D16" s="1320">
        <v>-40</v>
      </c>
      <c r="E16" s="249">
        <v>-768.03000000000009</v>
      </c>
      <c r="F16" s="249">
        <v>-1110.1099999999999</v>
      </c>
      <c r="G16" s="447">
        <v>-1918.1399999999999</v>
      </c>
      <c r="H16" s="249"/>
      <c r="J16" s="238">
        <v>6230</v>
      </c>
      <c r="K16" t="s">
        <v>409</v>
      </c>
      <c r="L16" s="950">
        <v>-1960</v>
      </c>
      <c r="M16"/>
      <c r="N16"/>
      <c r="O16" s="1208">
        <f t="shared" si="0"/>
        <v>-81.860000000000127</v>
      </c>
      <c r="P16" s="249"/>
      <c r="Q16" s="249"/>
      <c r="S16" s="267">
        <f t="shared" si="1"/>
        <v>-1191.9699999999998</v>
      </c>
      <c r="U16" s="814">
        <v>45219</v>
      </c>
      <c r="V16" s="554" t="s">
        <v>795</v>
      </c>
      <c r="W16" s="554" t="s">
        <v>796</v>
      </c>
      <c r="X16" s="730">
        <v>786001</v>
      </c>
      <c r="Y16" s="822">
        <f>+X16*Y$6+2.13</f>
        <v>1199.9955240000002</v>
      </c>
    </row>
    <row r="17" spans="1:25" s="238" customFormat="1">
      <c r="B17">
        <v>6250</v>
      </c>
      <c r="C17" t="s">
        <v>313</v>
      </c>
      <c r="D17" s="1314"/>
      <c r="E17" s="249">
        <v>-1337.86</v>
      </c>
      <c r="F17" s="249">
        <v>-5385.37</v>
      </c>
      <c r="G17" s="447">
        <v>-6723.23</v>
      </c>
      <c r="H17" s="249"/>
      <c r="J17">
        <v>6250</v>
      </c>
      <c r="K17" t="s">
        <v>313</v>
      </c>
      <c r="L17" s="950">
        <v>-5700</v>
      </c>
      <c r="M17"/>
      <c r="N17"/>
      <c r="O17" s="923">
        <f>+L17+D17-G17</f>
        <v>1023.2299999999996</v>
      </c>
      <c r="P17" s="249"/>
      <c r="Q17" s="249"/>
      <c r="S17" s="267">
        <f t="shared" si="1"/>
        <v>-4362.1400000000003</v>
      </c>
      <c r="U17" s="814">
        <v>45089</v>
      </c>
      <c r="V17" s="554" t="s">
        <v>797</v>
      </c>
      <c r="W17" s="821" t="s">
        <v>798</v>
      </c>
      <c r="X17" s="730">
        <v>18866190</v>
      </c>
      <c r="Y17" s="730">
        <f>+X17*Y$6-0.07</f>
        <v>28752.003560000001</v>
      </c>
    </row>
    <row r="18" spans="1:25" s="238" customFormat="1">
      <c r="B18" s="238">
        <v>6261</v>
      </c>
      <c r="C18" t="s">
        <v>280</v>
      </c>
      <c r="D18" s="1314"/>
      <c r="E18" s="249">
        <v>-134.72</v>
      </c>
      <c r="F18" s="249">
        <v>-139.26</v>
      </c>
      <c r="G18" s="447">
        <v>-273.98</v>
      </c>
      <c r="H18" s="249"/>
      <c r="J18" s="238">
        <v>6261</v>
      </c>
      <c r="K18" t="s">
        <v>280</v>
      </c>
      <c r="L18" s="950">
        <v>-1500</v>
      </c>
      <c r="M18"/>
      <c r="N18"/>
      <c r="O18" s="923">
        <f t="shared" si="0"/>
        <v>-1226.02</v>
      </c>
      <c r="P18" s="249">
        <f>SUM(O15:O18)</f>
        <v>0.3499999999994543</v>
      </c>
      <c r="Q18" s="249"/>
      <c r="S18" s="267">
        <f t="shared" si="1"/>
        <v>-1365.28</v>
      </c>
      <c r="U18" s="814">
        <v>45153</v>
      </c>
      <c r="V18" s="554" t="s">
        <v>792</v>
      </c>
      <c r="W18" s="554" t="s">
        <v>799</v>
      </c>
      <c r="X18" s="730">
        <v>187985</v>
      </c>
      <c r="Y18" s="822">
        <f>+X18*Y$6+0.51</f>
        <v>286.99914000000001</v>
      </c>
    </row>
    <row r="19" spans="1:25" s="238" customFormat="1">
      <c r="B19" s="238">
        <v>6270</v>
      </c>
      <c r="C19" t="s">
        <v>283</v>
      </c>
      <c r="D19" s="1314"/>
      <c r="E19" s="249"/>
      <c r="F19" s="249">
        <v>-60.75</v>
      </c>
      <c r="G19" s="447">
        <v>-60.75</v>
      </c>
      <c r="H19" s="249"/>
      <c r="J19">
        <v>8640</v>
      </c>
      <c r="K19" t="s">
        <v>147</v>
      </c>
      <c r="L19" s="950">
        <v>-10000</v>
      </c>
      <c r="M19"/>
      <c r="N19"/>
      <c r="O19" s="923">
        <f t="shared" si="0"/>
        <v>-9939.25</v>
      </c>
      <c r="P19" s="249"/>
      <c r="Q19" s="249"/>
      <c r="S19" s="267">
        <f t="shared" si="1"/>
        <v>-10000</v>
      </c>
      <c r="U19" s="554" t="s">
        <v>800</v>
      </c>
      <c r="V19" s="554" t="s">
        <v>801</v>
      </c>
      <c r="W19" s="554" t="s">
        <v>802</v>
      </c>
      <c r="X19" s="730">
        <v>1044300</v>
      </c>
      <c r="Y19" s="822">
        <f>+X19*Y$6+0.53</f>
        <v>1592.0431999999998</v>
      </c>
    </row>
    <row r="20" spans="1:25" s="238" customFormat="1">
      <c r="B20">
        <v>8640</v>
      </c>
      <c r="C20" t="s">
        <v>147</v>
      </c>
      <c r="D20" s="1314"/>
      <c r="E20" s="249">
        <v>-10000</v>
      </c>
      <c r="F20" s="249"/>
      <c r="G20" s="447">
        <v>-10000</v>
      </c>
      <c r="H20" s="249"/>
      <c r="I20" s="253" t="s">
        <v>403</v>
      </c>
      <c r="J20" s="253"/>
      <c r="K20" s="253"/>
      <c r="L20" s="951">
        <v>-109957</v>
      </c>
      <c r="M20"/>
      <c r="N20"/>
      <c r="O20" s="924">
        <f t="shared" si="0"/>
        <v>-99957</v>
      </c>
      <c r="P20" s="249"/>
      <c r="Q20" s="249"/>
      <c r="S20" s="267">
        <f t="shared" si="1"/>
        <v>-99957</v>
      </c>
      <c r="U20" s="814">
        <v>45271</v>
      </c>
      <c r="V20" s="554" t="s">
        <v>803</v>
      </c>
      <c r="W20" s="554" t="s">
        <v>804</v>
      </c>
      <c r="X20" s="730">
        <v>52400</v>
      </c>
      <c r="Y20" s="822">
        <f>+X20*Y$6+0.14</f>
        <v>79.997600000000006</v>
      </c>
    </row>
    <row r="21" spans="1:25" s="238" customFormat="1">
      <c r="A21" s="253" t="s">
        <v>403</v>
      </c>
      <c r="B21" s="253"/>
      <c r="C21" s="253"/>
      <c r="D21" s="1315">
        <v>-40</v>
      </c>
      <c r="E21" s="251">
        <v>-73240.61</v>
      </c>
      <c r="F21" s="251">
        <v>-36777.490000000005</v>
      </c>
      <c r="G21" s="448">
        <v>-110058.09999999999</v>
      </c>
      <c r="H21" s="251"/>
      <c r="I21" s="238" t="s">
        <v>165</v>
      </c>
      <c r="L21" s="950">
        <v>-14960</v>
      </c>
      <c r="M21"/>
      <c r="N21"/>
      <c r="O21" s="923">
        <f>+L21+D21-G21</f>
        <v>95058.099999999991</v>
      </c>
      <c r="P21" s="249"/>
      <c r="Q21" s="249"/>
      <c r="S21" s="267">
        <f t="shared" si="1"/>
        <v>58280.61</v>
      </c>
      <c r="U21" s="814">
        <v>45271</v>
      </c>
      <c r="V21" s="554" t="s">
        <v>803</v>
      </c>
      <c r="W21" s="554" t="s">
        <v>738</v>
      </c>
      <c r="X21" s="730">
        <v>256760</v>
      </c>
      <c r="Y21" s="822">
        <f>+X21*Y$6+0.7</f>
        <v>392.00223999999997</v>
      </c>
    </row>
    <row r="22" spans="1:25" s="238" customFormat="1" ht="16" thickBot="1">
      <c r="A22" s="252" t="s">
        <v>165</v>
      </c>
      <c r="B22" s="252"/>
      <c r="C22" s="252"/>
      <c r="D22" s="1206">
        <v>14960</v>
      </c>
      <c r="E22" s="260">
        <v>-18420.809999999998</v>
      </c>
      <c r="F22" s="260">
        <v>-18944.489999999998</v>
      </c>
      <c r="G22" s="1202">
        <v>-22405.299999999996</v>
      </c>
      <c r="H22" s="249"/>
      <c r="I22"/>
      <c r="J22"/>
      <c r="K22"/>
      <c r="L22"/>
      <c r="M22"/>
      <c r="N22"/>
      <c r="O22" s="929">
        <f t="shared" si="0"/>
        <v>37365.299999999996</v>
      </c>
      <c r="P22" s="249"/>
      <c r="Q22" s="249"/>
      <c r="S22" s="267">
        <f t="shared" si="1"/>
        <v>18420.809999999998</v>
      </c>
      <c r="U22" s="814">
        <v>45273</v>
      </c>
      <c r="V22" s="554" t="s">
        <v>258</v>
      </c>
      <c r="W22" s="554" t="s">
        <v>739</v>
      </c>
      <c r="X22" s="730">
        <v>273000</v>
      </c>
      <c r="Y22" s="822">
        <f>+X22*Y$6+3.95</f>
        <v>420.00199999999995</v>
      </c>
    </row>
    <row r="23" spans="1:25" s="238" customFormat="1">
      <c r="A23"/>
      <c r="B23"/>
      <c r="C23"/>
      <c r="D23"/>
      <c r="E23" s="245"/>
      <c r="F23"/>
      <c r="G23" s="246"/>
      <c r="H23"/>
      <c r="I23"/>
      <c r="J23"/>
      <c r="K23"/>
      <c r="L23"/>
      <c r="M23"/>
      <c r="N23"/>
      <c r="O23"/>
      <c r="S23" s="267"/>
      <c r="U23" s="554"/>
      <c r="V23" s="554"/>
      <c r="W23" s="554"/>
      <c r="X23" s="730"/>
      <c r="Y23" s="730">
        <f>SUM(Y9:Y22)</f>
        <v>62881.771902440007</v>
      </c>
    </row>
    <row r="24" spans="1:25" s="238" customFormat="1">
      <c r="A24"/>
      <c r="B24"/>
      <c r="C24"/>
      <c r="D24"/>
      <c r="E24"/>
      <c r="F24"/>
      <c r="G24" s="246"/>
      <c r="H24"/>
      <c r="I24"/>
      <c r="J24"/>
      <c r="K24"/>
      <c r="L24"/>
      <c r="M24"/>
      <c r="N24"/>
      <c r="O24"/>
      <c r="S24" s="267"/>
      <c r="U24" s="554"/>
      <c r="V24" s="554"/>
      <c r="W24" s="554"/>
      <c r="X24" s="730"/>
      <c r="Y24" s="730"/>
    </row>
    <row r="25" spans="1:25" s="238" customFormat="1">
      <c r="A25"/>
      <c r="B25"/>
      <c r="C25"/>
      <c r="D25"/>
      <c r="E25"/>
      <c r="F25"/>
      <c r="G25" s="246"/>
      <c r="H25"/>
      <c r="I25"/>
      <c r="J25"/>
      <c r="K25"/>
      <c r="L25"/>
      <c r="M25"/>
      <c r="N25"/>
      <c r="O25"/>
      <c r="S25" s="267"/>
      <c r="U25" s="554"/>
      <c r="V25" s="554"/>
      <c r="W25" s="554"/>
      <c r="X25" s="730"/>
      <c r="Y25" s="730"/>
    </row>
    <row r="26" spans="1:25" s="238" customFormat="1">
      <c r="A26"/>
      <c r="B26"/>
      <c r="C26"/>
      <c r="D26"/>
      <c r="E26"/>
      <c r="F26"/>
      <c r="G26" s="246"/>
      <c r="H26"/>
      <c r="I26"/>
      <c r="J26"/>
      <c r="K26"/>
      <c r="L26"/>
      <c r="M26"/>
      <c r="N26"/>
      <c r="O26"/>
      <c r="S26" s="267"/>
      <c r="U26" s="554"/>
      <c r="V26" s="554"/>
      <c r="W26" s="554"/>
      <c r="X26" s="730"/>
      <c r="Y26" s="730"/>
    </row>
    <row r="27" spans="1:25" s="238" customFormat="1">
      <c r="A27"/>
      <c r="B27"/>
      <c r="C27"/>
      <c r="D27"/>
      <c r="E27"/>
      <c r="F27"/>
      <c r="G27" s="246"/>
      <c r="H27"/>
      <c r="I27"/>
      <c r="J27"/>
      <c r="K27"/>
      <c r="L27"/>
      <c r="M27"/>
      <c r="N27"/>
      <c r="O27"/>
      <c r="S27" s="267"/>
      <c r="U27" s="554"/>
      <c r="V27" s="554"/>
      <c r="W27" s="554"/>
      <c r="X27" s="730"/>
      <c r="Y27" s="730"/>
    </row>
    <row r="28" spans="1:25" s="238" customFormat="1">
      <c r="A28"/>
      <c r="B28"/>
      <c r="C28"/>
      <c r="D28"/>
      <c r="E28"/>
      <c r="F28"/>
      <c r="G28" s="246"/>
      <c r="H28"/>
      <c r="I28"/>
      <c r="J28"/>
      <c r="K28"/>
      <c r="L28"/>
      <c r="M28"/>
      <c r="N28"/>
      <c r="O28"/>
      <c r="S28" s="267"/>
      <c r="U28" s="554"/>
      <c r="V28" s="554"/>
      <c r="W28" s="554"/>
      <c r="X28" s="730"/>
      <c r="Y28" s="730"/>
    </row>
    <row r="29" spans="1:25" s="238" customFormat="1">
      <c r="A29"/>
      <c r="B29"/>
      <c r="C29"/>
      <c r="D29"/>
      <c r="E29"/>
      <c r="F29"/>
      <c r="G29" s="246"/>
      <c r="H29"/>
      <c r="I29"/>
      <c r="J29"/>
      <c r="K29"/>
      <c r="L29"/>
      <c r="M29"/>
      <c r="N29"/>
      <c r="O29"/>
      <c r="S29" s="267"/>
      <c r="U29" s="554"/>
      <c r="V29" s="554"/>
      <c r="W29" s="554"/>
      <c r="X29" s="730"/>
      <c r="Y29" s="730"/>
    </row>
    <row r="30" spans="1:25" s="238" customFormat="1">
      <c r="A30"/>
      <c r="B30"/>
      <c r="C30"/>
      <c r="D30"/>
      <c r="E30"/>
      <c r="F30"/>
      <c r="G30" s="246"/>
      <c r="H30"/>
      <c r="I30"/>
      <c r="J30"/>
      <c r="K30"/>
      <c r="L30"/>
      <c r="M30"/>
      <c r="N30"/>
      <c r="O30"/>
      <c r="S30" s="267"/>
      <c r="U30" s="554"/>
      <c r="V30" s="554"/>
      <c r="W30" s="554"/>
      <c r="X30" s="730"/>
      <c r="Y30" s="730"/>
    </row>
    <row r="31" spans="1:25" s="238" customFormat="1">
      <c r="A31"/>
      <c r="B31"/>
      <c r="C31"/>
      <c r="D31"/>
      <c r="E31"/>
      <c r="F31"/>
      <c r="G31" s="246"/>
      <c r="H31"/>
      <c r="I31"/>
      <c r="J31"/>
      <c r="K31"/>
      <c r="L31"/>
      <c r="M31"/>
      <c r="N31"/>
      <c r="O31"/>
      <c r="S31" s="267"/>
      <c r="U31" s="554"/>
      <c r="V31" s="554"/>
      <c r="W31" s="554"/>
      <c r="X31" s="730"/>
      <c r="Y31" s="730"/>
    </row>
    <row r="32" spans="1:25" s="238" customFormat="1">
      <c r="A32"/>
      <c r="B32"/>
      <c r="C32"/>
      <c r="D32"/>
      <c r="E32"/>
      <c r="F32"/>
      <c r="G32" s="246"/>
      <c r="H32"/>
      <c r="I32"/>
      <c r="J32"/>
      <c r="K32"/>
      <c r="L32"/>
      <c r="M32"/>
      <c r="N32"/>
      <c r="O32"/>
      <c r="S32" s="267"/>
      <c r="U32" s="554"/>
      <c r="V32" s="554"/>
      <c r="W32" s="554"/>
      <c r="X32" s="730"/>
      <c r="Y32" s="730"/>
    </row>
    <row r="33" spans="1:25" s="238" customFormat="1">
      <c r="A33"/>
      <c r="B33"/>
      <c r="C33"/>
      <c r="D33"/>
      <c r="E33"/>
      <c r="F33"/>
      <c r="G33" s="246"/>
      <c r="H33"/>
      <c r="I33"/>
      <c r="J33"/>
      <c r="K33"/>
      <c r="L33"/>
      <c r="M33"/>
      <c r="N33"/>
      <c r="O33"/>
      <c r="S33" s="267"/>
      <c r="U33" s="554"/>
      <c r="V33" s="554"/>
      <c r="W33" s="554"/>
      <c r="X33" s="730"/>
      <c r="Y33" s="730"/>
    </row>
    <row r="34" spans="1:25" s="238" customFormat="1">
      <c r="A34"/>
      <c r="B34"/>
      <c r="C34"/>
      <c r="D34"/>
      <c r="E34"/>
      <c r="F34"/>
      <c r="G34" s="246"/>
      <c r="H34"/>
      <c r="I34"/>
      <c r="J34"/>
      <c r="K34"/>
      <c r="L34"/>
      <c r="M34"/>
      <c r="N34"/>
      <c r="O34"/>
      <c r="S34" s="267"/>
      <c r="U34" s="554"/>
      <c r="V34" s="554"/>
      <c r="W34" s="554"/>
      <c r="X34" s="730"/>
      <c r="Y34" s="730"/>
    </row>
    <row r="35" spans="1:25" s="238" customFormat="1">
      <c r="A35"/>
      <c r="B35"/>
      <c r="C35"/>
      <c r="D35"/>
      <c r="E35"/>
      <c r="F35"/>
      <c r="G35" s="246"/>
      <c r="H35"/>
      <c r="I35"/>
      <c r="J35"/>
      <c r="K35"/>
      <c r="L35"/>
      <c r="M35"/>
      <c r="N35"/>
      <c r="O35"/>
      <c r="S35" s="267"/>
      <c r="U35" s="554"/>
      <c r="V35" s="554"/>
      <c r="W35" s="554"/>
      <c r="X35" s="730"/>
      <c r="Y35" s="730"/>
    </row>
    <row r="36" spans="1:25" s="238" customFormat="1">
      <c r="A36"/>
      <c r="B36"/>
      <c r="C36"/>
      <c r="D36"/>
      <c r="E36"/>
      <c r="F36"/>
      <c r="G36" s="246"/>
      <c r="H36"/>
      <c r="I36"/>
      <c r="J36"/>
      <c r="K36"/>
      <c r="L36"/>
      <c r="M36"/>
      <c r="N36"/>
      <c r="O36"/>
      <c r="S36" s="267"/>
      <c r="U36" s="554"/>
      <c r="V36" s="554"/>
      <c r="W36" s="554"/>
      <c r="X36" s="730"/>
      <c r="Y36" s="730"/>
    </row>
    <row r="37" spans="1:25" s="238" customFormat="1">
      <c r="A37"/>
      <c r="B37"/>
      <c r="C37"/>
      <c r="D37"/>
      <c r="E37"/>
      <c r="F37"/>
      <c r="G37" s="246"/>
      <c r="H37"/>
      <c r="I37"/>
      <c r="J37"/>
      <c r="K37"/>
      <c r="L37"/>
      <c r="M37"/>
      <c r="N37"/>
      <c r="O37"/>
      <c r="S37" s="267"/>
      <c r="U37" s="554"/>
      <c r="V37" s="554"/>
      <c r="W37" s="554"/>
      <c r="X37" s="730"/>
      <c r="Y37" s="730"/>
    </row>
    <row r="38" spans="1:25" s="238" customFormat="1">
      <c r="A38"/>
      <c r="B38"/>
      <c r="C38"/>
      <c r="D38"/>
      <c r="E38"/>
      <c r="F38"/>
      <c r="G38" s="246"/>
      <c r="H38"/>
      <c r="I38"/>
      <c r="J38"/>
      <c r="K38"/>
      <c r="L38"/>
      <c r="M38"/>
      <c r="N38"/>
      <c r="O38"/>
      <c r="S38" s="267"/>
      <c r="U38" s="554"/>
      <c r="V38" s="554"/>
      <c r="W38" s="554"/>
      <c r="X38" s="730"/>
      <c r="Y38" s="730"/>
    </row>
    <row r="39" spans="1:25" s="238" customFormat="1">
      <c r="A39"/>
      <c r="B39"/>
      <c r="C39"/>
      <c r="D39"/>
      <c r="E39"/>
      <c r="F39"/>
      <c r="G39" s="246"/>
      <c r="H39"/>
      <c r="I39"/>
      <c r="J39"/>
      <c r="K39"/>
      <c r="L39"/>
      <c r="M39"/>
      <c r="N39"/>
      <c r="O39"/>
      <c r="S39" s="267"/>
      <c r="U39" s="554"/>
      <c r="V39" s="554"/>
      <c r="W39" s="554"/>
      <c r="X39" s="730"/>
      <c r="Y39" s="730"/>
    </row>
    <row r="40" spans="1:25" s="238" customFormat="1">
      <c r="A40"/>
      <c r="B40"/>
      <c r="C40"/>
      <c r="D40"/>
      <c r="E40"/>
      <c r="F40"/>
      <c r="G40" s="246"/>
      <c r="H40"/>
      <c r="I40"/>
      <c r="J40"/>
      <c r="K40"/>
      <c r="L40"/>
      <c r="M40"/>
      <c r="N40"/>
      <c r="O40"/>
      <c r="S40" s="267"/>
      <c r="U40" s="554"/>
      <c r="V40" s="554"/>
      <c r="W40" s="554"/>
      <c r="X40" s="730"/>
      <c r="Y40" s="730"/>
    </row>
    <row r="41" spans="1:25" s="238" customFormat="1">
      <c r="A41"/>
      <c r="B41"/>
      <c r="C41"/>
      <c r="D41"/>
      <c r="E41"/>
      <c r="F41"/>
      <c r="G41" s="246"/>
      <c r="H41"/>
      <c r="I41"/>
      <c r="J41"/>
      <c r="K41"/>
      <c r="L41"/>
      <c r="M41"/>
      <c r="N41"/>
      <c r="O41"/>
      <c r="S41" s="267"/>
      <c r="U41" s="554"/>
      <c r="V41" s="554"/>
      <c r="W41" s="554"/>
      <c r="X41" s="730"/>
      <c r="Y41" s="730"/>
    </row>
    <row r="42" spans="1:25" s="238" customFormat="1">
      <c r="A42"/>
      <c r="B42"/>
      <c r="C42"/>
      <c r="D42"/>
      <c r="E42"/>
      <c r="F42"/>
      <c r="G42" s="246"/>
      <c r="H42"/>
      <c r="I42"/>
      <c r="J42"/>
      <c r="K42"/>
      <c r="L42"/>
      <c r="M42"/>
      <c r="N42"/>
      <c r="O42"/>
      <c r="S42" s="267"/>
      <c r="U42" s="554"/>
      <c r="V42" s="554"/>
      <c r="W42" s="554"/>
      <c r="X42" s="730"/>
      <c r="Y42" s="730"/>
    </row>
    <row r="43" spans="1:25" s="238" customFormat="1">
      <c r="A43"/>
      <c r="B43"/>
      <c r="C43"/>
      <c r="D43"/>
      <c r="E43"/>
      <c r="F43"/>
      <c r="G43" s="246"/>
      <c r="H43"/>
      <c r="I43"/>
      <c r="J43"/>
      <c r="K43"/>
      <c r="L43"/>
      <c r="M43"/>
      <c r="N43"/>
      <c r="O43"/>
      <c r="S43" s="267"/>
      <c r="U43" s="554"/>
      <c r="V43" s="554"/>
      <c r="W43" s="554"/>
      <c r="X43" s="730"/>
      <c r="Y43" s="730"/>
    </row>
    <row r="44" spans="1:25" s="238" customFormat="1">
      <c r="A44"/>
      <c r="B44"/>
      <c r="C44"/>
      <c r="D44"/>
      <c r="E44"/>
      <c r="F44"/>
      <c r="G44" s="246"/>
      <c r="H44"/>
      <c r="I44"/>
      <c r="J44"/>
      <c r="K44"/>
      <c r="L44"/>
      <c r="M44"/>
      <c r="N44"/>
      <c r="O44"/>
      <c r="S44" s="267"/>
      <c r="U44" s="554"/>
      <c r="V44" s="554"/>
      <c r="W44" s="554"/>
      <c r="X44" s="730"/>
      <c r="Y44" s="730"/>
    </row>
    <row r="45" spans="1:25" s="238" customFormat="1">
      <c r="A45"/>
      <c r="B45"/>
      <c r="C45"/>
      <c r="D45"/>
      <c r="E45"/>
      <c r="F45"/>
      <c r="G45" s="246"/>
      <c r="H45"/>
      <c r="I45"/>
      <c r="J45"/>
      <c r="K45"/>
      <c r="L45"/>
      <c r="M45"/>
      <c r="N45"/>
      <c r="O45"/>
      <c r="S45" s="267"/>
      <c r="U45" s="554"/>
      <c r="V45" s="554"/>
      <c r="W45" s="554"/>
      <c r="X45" s="730"/>
      <c r="Y45" s="730"/>
    </row>
    <row r="46" spans="1:25" s="238" customFormat="1">
      <c r="A46"/>
      <c r="B46"/>
      <c r="C46"/>
      <c r="D46"/>
      <c r="E46"/>
      <c r="F46"/>
      <c r="G46" s="246"/>
      <c r="H46"/>
      <c r="I46"/>
      <c r="J46"/>
      <c r="K46"/>
      <c r="L46"/>
      <c r="M46"/>
      <c r="N46"/>
      <c r="O46"/>
      <c r="S46" s="267"/>
      <c r="U46" s="554"/>
      <c r="V46" s="554"/>
      <c r="W46" s="554"/>
      <c r="X46" s="730"/>
      <c r="Y46" s="730"/>
    </row>
    <row r="47" spans="1:25" s="238" customFormat="1">
      <c r="A47"/>
      <c r="B47"/>
      <c r="C47"/>
      <c r="D47"/>
      <c r="E47"/>
      <c r="F47"/>
      <c r="G47" s="246"/>
      <c r="H47"/>
      <c r="I47"/>
      <c r="J47"/>
      <c r="K47"/>
      <c r="L47"/>
      <c r="M47"/>
      <c r="N47"/>
      <c r="O47"/>
      <c r="S47" s="267"/>
      <c r="U47" s="554"/>
      <c r="V47" s="554"/>
      <c r="W47" s="554"/>
      <c r="X47" s="730"/>
      <c r="Y47" s="730"/>
    </row>
    <row r="48" spans="1:25" s="249" customFormat="1">
      <c r="A48" t="s">
        <v>838</v>
      </c>
      <c r="G48" s="447"/>
      <c r="S48" s="240"/>
      <c r="T48"/>
      <c r="U48" s="404"/>
      <c r="V48" s="815"/>
      <c r="W48" s="815"/>
      <c r="X48" s="730"/>
      <c r="Y48" s="730"/>
    </row>
    <row r="49" spans="1:25" s="249" customFormat="1">
      <c r="A49"/>
      <c r="D49" s="404" t="s">
        <v>211</v>
      </c>
      <c r="E49" s="404" t="s">
        <v>806</v>
      </c>
      <c r="F49" s="404" t="s">
        <v>776</v>
      </c>
      <c r="G49" s="559"/>
      <c r="H49" s="404"/>
      <c r="I49" s="404"/>
      <c r="J49" s="404"/>
      <c r="K49" s="404"/>
      <c r="L49" s="404"/>
      <c r="M49" s="404"/>
      <c r="N49" s="404"/>
      <c r="O49" s="404"/>
      <c r="P49" s="554"/>
      <c r="Q49" s="554"/>
      <c r="S49" s="240"/>
      <c r="T49"/>
      <c r="U49" s="404"/>
      <c r="V49" s="815"/>
      <c r="W49" s="815"/>
      <c r="X49" s="730"/>
      <c r="Y49" s="730"/>
    </row>
    <row r="50" spans="1:25" s="249" customFormat="1">
      <c r="A50" s="856" t="s">
        <v>805</v>
      </c>
      <c r="B50" s="857"/>
      <c r="C50" s="857"/>
      <c r="D50" s="850">
        <v>73707</v>
      </c>
      <c r="E50" s="850">
        <v>8000</v>
      </c>
      <c r="F50" s="851">
        <f>+D50-E50</f>
        <v>65707</v>
      </c>
      <c r="G50" s="952"/>
      <c r="H50" s="824"/>
      <c r="I50" s="824"/>
      <c r="J50" s="824"/>
      <c r="K50" s="824"/>
      <c r="L50" s="824"/>
      <c r="M50" s="824"/>
      <c r="N50" s="824"/>
      <c r="O50" s="824"/>
      <c r="P50" s="825"/>
      <c r="Q50" s="825"/>
      <c r="S50" s="866" t="s">
        <v>776</v>
      </c>
      <c r="T50" s="850">
        <f>+[1]Namka!$E$51</f>
        <v>62882.32190244001</v>
      </c>
      <c r="U50" s="867"/>
      <c r="V50" s="883">
        <f>+T50+U50</f>
        <v>62882.32190244001</v>
      </c>
      <c r="W50" s="815"/>
      <c r="X50" s="730"/>
      <c r="Y50" s="730"/>
    </row>
    <row r="51" spans="1:25">
      <c r="A51" s="555"/>
      <c r="B51" s="250" t="s">
        <v>807</v>
      </c>
      <c r="C51" s="852"/>
      <c r="D51" s="858"/>
      <c r="E51" s="858"/>
      <c r="F51" s="859">
        <v>-15</v>
      </c>
      <c r="G51" s="953"/>
      <c r="H51" s="825"/>
      <c r="I51" s="825"/>
      <c r="J51" s="825"/>
      <c r="K51" s="825"/>
      <c r="L51" s="825"/>
      <c r="M51" s="825"/>
      <c r="N51" s="825"/>
      <c r="O51" s="825"/>
      <c r="P51" s="825"/>
      <c r="Q51" s="825"/>
      <c r="S51" s="868" t="s">
        <v>824</v>
      </c>
      <c r="T51" s="177">
        <v>1330</v>
      </c>
      <c r="U51" s="869">
        <f>F53+F55+F56+F57+F59+F54</f>
        <v>-322.08000000000004</v>
      </c>
      <c r="V51" s="870">
        <f>+T51+U51</f>
        <v>1007.92</v>
      </c>
    </row>
    <row r="52" spans="1:25">
      <c r="A52" s="555"/>
      <c r="B52" s="250" t="s">
        <v>808</v>
      </c>
      <c r="C52" s="852"/>
      <c r="D52" s="858"/>
      <c r="E52" s="858"/>
      <c r="F52" s="859">
        <v>100</v>
      </c>
      <c r="G52" s="953"/>
      <c r="H52" s="825"/>
      <c r="I52" s="825"/>
      <c r="J52" s="825"/>
      <c r="K52" s="825"/>
      <c r="L52" s="825"/>
      <c r="M52" s="825"/>
      <c r="N52" s="825"/>
      <c r="O52" s="825"/>
      <c r="P52" s="825"/>
      <c r="Q52" s="825"/>
      <c r="S52" s="871" t="s">
        <v>825</v>
      </c>
      <c r="T52" s="177">
        <v>1335.59</v>
      </c>
      <c r="U52" s="872">
        <v>-43.6</v>
      </c>
      <c r="V52" s="884">
        <f>+T52+U52</f>
        <v>1291.99</v>
      </c>
    </row>
    <row r="53" spans="1:25">
      <c r="A53" s="555"/>
      <c r="B53" s="250" t="s">
        <v>819</v>
      </c>
      <c r="C53" s="852"/>
      <c r="D53" s="858"/>
      <c r="E53" s="858"/>
      <c r="F53" s="859">
        <v>-233.15</v>
      </c>
      <c r="G53" s="953"/>
      <c r="H53" s="825"/>
      <c r="I53" s="825"/>
      <c r="J53" s="825"/>
      <c r="K53" s="825"/>
      <c r="L53" s="825"/>
      <c r="M53" s="825"/>
      <c r="N53" s="825"/>
      <c r="O53" s="825"/>
      <c r="P53" s="825"/>
      <c r="Q53" s="825"/>
      <c r="S53" s="868" t="s">
        <v>827</v>
      </c>
      <c r="T53" s="177">
        <v>73.260000000000005</v>
      </c>
      <c r="U53" s="872"/>
      <c r="V53" s="886">
        <f>+T53+U53</f>
        <v>73.260000000000005</v>
      </c>
    </row>
    <row r="54" spans="1:25">
      <c r="A54" s="555"/>
      <c r="B54" s="250" t="s">
        <v>820</v>
      </c>
      <c r="C54" s="852"/>
      <c r="D54" s="273"/>
      <c r="E54" s="273"/>
      <c r="F54" s="859">
        <v>40</v>
      </c>
      <c r="G54" s="953"/>
      <c r="H54" s="825"/>
      <c r="I54" s="825"/>
      <c r="J54" s="825"/>
      <c r="K54" s="825"/>
      <c r="L54" s="825"/>
      <c r="M54" s="825"/>
      <c r="N54" s="825"/>
      <c r="O54" s="825"/>
      <c r="P54" s="825"/>
      <c r="Q54" s="825"/>
      <c r="S54" s="868" t="s">
        <v>826</v>
      </c>
      <c r="T54" s="177">
        <v>81.06</v>
      </c>
      <c r="U54" s="872" t="s">
        <v>782</v>
      </c>
      <c r="V54" s="884">
        <f>+T54</f>
        <v>81.06</v>
      </c>
    </row>
    <row r="55" spans="1:25">
      <c r="A55" s="555"/>
      <c r="B55" s="250" t="s">
        <v>828</v>
      </c>
      <c r="C55" s="852"/>
      <c r="D55" s="273"/>
      <c r="E55" s="273"/>
      <c r="F55" s="859">
        <v>-70.989999999999995</v>
      </c>
      <c r="G55" s="953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S55" s="868" t="s">
        <v>79</v>
      </c>
      <c r="T55" s="824">
        <f>F58</f>
        <v>120.80000000000001</v>
      </c>
      <c r="U55" s="872"/>
      <c r="V55" s="870">
        <f>+T55+U55</f>
        <v>120.80000000000001</v>
      </c>
    </row>
    <row r="56" spans="1:25">
      <c r="A56" s="555"/>
      <c r="B56" s="250" t="s">
        <v>829</v>
      </c>
      <c r="C56" s="852"/>
      <c r="D56" s="273"/>
      <c r="E56" s="273"/>
      <c r="F56" s="859">
        <v>-2</v>
      </c>
      <c r="G56" s="953"/>
      <c r="H56" s="825"/>
      <c r="I56" s="825"/>
      <c r="J56" s="825"/>
      <c r="K56" s="825"/>
      <c r="L56" s="825"/>
      <c r="M56" s="825"/>
      <c r="N56" s="825"/>
      <c r="O56" s="825"/>
      <c r="P56" s="825"/>
      <c r="Q56" s="825"/>
      <c r="S56" s="868" t="s">
        <v>836</v>
      </c>
      <c r="T56" s="239"/>
      <c r="U56" s="882">
        <v>43.6</v>
      </c>
      <c r="V56" s="886">
        <f>+T56+U56</f>
        <v>43.6</v>
      </c>
    </row>
    <row r="57" spans="1:25">
      <c r="A57" s="555"/>
      <c r="B57" s="250" t="s">
        <v>830</v>
      </c>
      <c r="C57" s="852"/>
      <c r="D57" s="273"/>
      <c r="E57" s="273"/>
      <c r="F57" s="859">
        <v>-73.09</v>
      </c>
      <c r="G57" s="953"/>
      <c r="H57" s="825"/>
      <c r="I57" s="825"/>
      <c r="J57" s="825"/>
      <c r="K57" s="825"/>
      <c r="L57" s="825"/>
      <c r="M57" s="825"/>
      <c r="N57" s="825"/>
      <c r="O57" s="825"/>
      <c r="P57" s="825"/>
      <c r="Q57" s="825"/>
      <c r="S57" s="868"/>
      <c r="T57" s="177"/>
      <c r="U57" s="872"/>
      <c r="V57" s="873"/>
    </row>
    <row r="58" spans="1:25">
      <c r="A58" s="555"/>
      <c r="B58" s="250" t="s">
        <v>80</v>
      </c>
      <c r="C58" s="852"/>
      <c r="D58" s="273"/>
      <c r="E58" s="273"/>
      <c r="F58" s="825">
        <f>+T76</f>
        <v>120.80000000000001</v>
      </c>
      <c r="G58" s="953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S58" s="868"/>
      <c r="T58" s="177"/>
      <c r="U58" s="872"/>
      <c r="V58" s="873"/>
    </row>
    <row r="59" spans="1:25">
      <c r="A59" s="555"/>
      <c r="B59" s="249" t="s">
        <v>832</v>
      </c>
      <c r="F59" s="730">
        <f>[1]Namka!$Q$74</f>
        <v>17.149999999999999</v>
      </c>
      <c r="G59" s="954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S59" s="868"/>
      <c r="T59" s="177"/>
      <c r="U59" s="872"/>
      <c r="V59" s="873"/>
    </row>
    <row r="60" spans="1:25">
      <c r="A60" s="555"/>
      <c r="F60" s="730"/>
      <c r="G60" s="954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S60" s="868"/>
      <c r="T60" s="177"/>
      <c r="U60" s="872"/>
      <c r="V60" s="873"/>
    </row>
    <row r="61" spans="1:25">
      <c r="A61" s="862"/>
      <c r="B61" s="863"/>
      <c r="C61" s="864"/>
      <c r="D61" s="865"/>
      <c r="E61" s="865"/>
      <c r="F61" s="875">
        <f>SUM(F50:F60)</f>
        <v>65590.720000000001</v>
      </c>
      <c r="G61" s="953"/>
      <c r="H61" s="825"/>
      <c r="I61" s="825"/>
      <c r="J61" s="825"/>
      <c r="K61" s="825"/>
      <c r="L61" s="825"/>
      <c r="M61" s="825"/>
      <c r="N61" s="825"/>
      <c r="O61" s="825"/>
      <c r="P61" s="825"/>
      <c r="Q61" s="825"/>
      <c r="S61" s="874"/>
      <c r="T61" s="855">
        <f>SUM(T50:T59)</f>
        <v>65823.031902440009</v>
      </c>
      <c r="U61" s="855">
        <f>SUM(U50:U59)</f>
        <v>-322.08000000000004</v>
      </c>
      <c r="V61" s="855">
        <f>SUM(V50:V59)</f>
        <v>65500.951902440007</v>
      </c>
      <c r="W61" s="881">
        <f>+V61-F68</f>
        <v>-0.38999999999941792</v>
      </c>
    </row>
    <row r="63" spans="1:25">
      <c r="D63" s="404" t="s">
        <v>211</v>
      </c>
      <c r="E63" s="404" t="s">
        <v>806</v>
      </c>
      <c r="F63" s="404" t="s">
        <v>776</v>
      </c>
      <c r="G63" s="559"/>
      <c r="H63" s="404"/>
      <c r="I63" s="404"/>
      <c r="J63" s="404"/>
      <c r="K63" s="404"/>
      <c r="L63" s="404"/>
      <c r="M63" s="404"/>
      <c r="N63" s="404"/>
      <c r="O63" s="404"/>
      <c r="P63" s="554"/>
      <c r="Q63" s="554"/>
    </row>
    <row r="64" spans="1:25">
      <c r="A64" s="856" t="s">
        <v>821</v>
      </c>
      <c r="B64" s="887"/>
      <c r="C64" s="849"/>
      <c r="D64" s="850">
        <f>73241+40</f>
        <v>73281</v>
      </c>
      <c r="E64" s="850">
        <v>10000</v>
      </c>
      <c r="F64" s="851">
        <f>+D64-E64</f>
        <v>63281</v>
      </c>
      <c r="G64" s="952"/>
      <c r="H64" s="824"/>
      <c r="I64" s="824"/>
      <c r="J64" s="824"/>
      <c r="K64" s="824"/>
      <c r="L64" s="824"/>
      <c r="M64" s="824"/>
      <c r="N64" s="824"/>
      <c r="O64" s="824"/>
      <c r="P64" s="825"/>
      <c r="Q64" s="825"/>
      <c r="S64" s="889" t="s">
        <v>833</v>
      </c>
      <c r="T64" s="827">
        <f>V50+V52+V54</f>
        <v>64255.371902440005</v>
      </c>
    </row>
    <row r="65" spans="1:21">
      <c r="A65" s="555" t="s">
        <v>822</v>
      </c>
      <c r="B65" s="250"/>
      <c r="C65" s="852"/>
      <c r="D65" s="273"/>
      <c r="E65" s="273"/>
      <c r="F65" s="440">
        <f>+F100+F101</f>
        <v>185.97</v>
      </c>
      <c r="G65" s="573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S65" s="240" t="s">
        <v>837</v>
      </c>
      <c r="T65" s="888">
        <f>R76</f>
        <v>62221</v>
      </c>
    </row>
    <row r="66" spans="1:21">
      <c r="A66" s="555" t="s">
        <v>833</v>
      </c>
      <c r="B66" s="250"/>
      <c r="C66" s="852"/>
      <c r="D66" s="273"/>
      <c r="E66" s="273"/>
      <c r="F66" s="440">
        <f>+R73</f>
        <v>2034.3719024400052</v>
      </c>
      <c r="G66" s="573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T66" s="245">
        <f>T64-T65</f>
        <v>2034.3719024400052</v>
      </c>
    </row>
    <row r="67" spans="1:21">
      <c r="A67" s="555"/>
      <c r="B67" s="250"/>
      <c r="C67" s="852"/>
      <c r="D67" s="273"/>
      <c r="E67" s="273"/>
      <c r="F67" s="440"/>
      <c r="G67" s="573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21">
      <c r="A68" s="860"/>
      <c r="B68" s="861"/>
      <c r="C68" s="853"/>
      <c r="D68" s="854"/>
      <c r="E68" s="854"/>
      <c r="F68" s="855">
        <f>SUM(F64:F67)</f>
        <v>65501.341902440006</v>
      </c>
      <c r="G68" s="573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73" spans="1:21">
      <c r="R73" s="249">
        <f>+R74-R76</f>
        <v>2034.3719024400052</v>
      </c>
    </row>
    <row r="74" spans="1:21">
      <c r="R74" s="926">
        <f>T50+T54+V52</f>
        <v>64255.371902440005</v>
      </c>
      <c r="S74" s="828">
        <f>+V51-S76</f>
        <v>0</v>
      </c>
    </row>
    <row r="75" spans="1:21">
      <c r="F75" s="249" t="s">
        <v>299</v>
      </c>
      <c r="R75" s="826" t="s">
        <v>258</v>
      </c>
      <c r="S75" s="826" t="s">
        <v>809</v>
      </c>
      <c r="T75" s="404" t="s">
        <v>79</v>
      </c>
      <c r="U75" s="404" t="s">
        <v>823</v>
      </c>
    </row>
    <row r="76" spans="1:21">
      <c r="B76" s="835"/>
      <c r="C76" s="836"/>
      <c r="D76" s="837"/>
      <c r="E76" s="837"/>
      <c r="F76" s="835">
        <f>SUM(F77:F103)-SUM(E93:E103)</f>
        <v>65500.951902440007</v>
      </c>
      <c r="G76" s="835"/>
      <c r="H76" s="835"/>
      <c r="I76" s="835"/>
      <c r="J76" s="835"/>
      <c r="K76" s="835"/>
      <c r="L76" s="835"/>
      <c r="M76" s="835"/>
      <c r="N76" s="835"/>
      <c r="O76" s="835"/>
      <c r="P76" s="835"/>
      <c r="Q76" s="835"/>
      <c r="R76" s="835">
        <f>SUM(R77:R103)-SUM(F93:F95)</f>
        <v>62221</v>
      </c>
      <c r="S76" s="835">
        <f>SUM(S77:S103)-SUM(R93:R95)</f>
        <v>1007.9200000000002</v>
      </c>
      <c r="T76" s="835">
        <f>SUM(T77:T103)-SUM(S93:S95)</f>
        <v>120.80000000000001</v>
      </c>
      <c r="U76" s="835">
        <f>SUM(U77:U103)-SUM(T93:T95)</f>
        <v>116.86000000000001</v>
      </c>
    </row>
    <row r="77" spans="1:21">
      <c r="B77" s="829">
        <v>44683</v>
      </c>
      <c r="C77" s="830" t="s">
        <v>473</v>
      </c>
      <c r="D77" s="830" t="s">
        <v>253</v>
      </c>
      <c r="E77" s="831"/>
      <c r="F77" s="832">
        <v>20</v>
      </c>
      <c r="G77" s="955"/>
      <c r="H77" s="832"/>
      <c r="I77" s="832"/>
      <c r="J77" s="832"/>
      <c r="K77" s="832"/>
      <c r="L77" s="832"/>
      <c r="M77" s="832"/>
      <c r="N77" s="832"/>
      <c r="O77" s="832"/>
      <c r="P77" s="832"/>
      <c r="Q77" s="832"/>
      <c r="R77" s="833"/>
      <c r="S77" s="834"/>
      <c r="T77" s="834"/>
      <c r="U77" s="834"/>
    </row>
    <row r="78" spans="1:21">
      <c r="B78" s="430">
        <v>44804</v>
      </c>
      <c r="C78" s="429" t="s">
        <v>519</v>
      </c>
      <c r="D78" s="429" t="s">
        <v>253</v>
      </c>
      <c r="E78" s="441"/>
      <c r="F78" s="441">
        <v>20</v>
      </c>
      <c r="G78" s="956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833"/>
      <c r="S78" s="838">
        <v>40</v>
      </c>
      <c r="T78" s="834"/>
      <c r="U78" s="834"/>
    </row>
    <row r="79" spans="1:21">
      <c r="B79" s="509">
        <v>44979</v>
      </c>
      <c r="C79" s="541" t="s">
        <v>598</v>
      </c>
      <c r="D79" s="4"/>
      <c r="E79" s="511"/>
      <c r="F79" s="542">
        <v>59.99</v>
      </c>
      <c r="G79" s="957"/>
      <c r="H79" s="913"/>
      <c r="I79" s="913"/>
      <c r="J79" s="913"/>
      <c r="K79" s="913"/>
      <c r="L79" s="913"/>
      <c r="M79" s="913"/>
      <c r="N79" s="913"/>
      <c r="O79" s="913"/>
      <c r="P79" s="915"/>
      <c r="Q79" s="915"/>
      <c r="R79" s="833"/>
      <c r="S79" s="839">
        <f>+F79</f>
        <v>59.99</v>
      </c>
      <c r="T79" s="839"/>
      <c r="U79" s="839"/>
    </row>
    <row r="80" spans="1:21" ht="21.5">
      <c r="B80" s="509">
        <v>45007</v>
      </c>
      <c r="C80" s="510" t="s">
        <v>601</v>
      </c>
      <c r="D80" s="4"/>
      <c r="E80" s="511"/>
      <c r="F80" s="542">
        <v>58000</v>
      </c>
      <c r="G80" s="957"/>
      <c r="H80" s="913"/>
      <c r="I80" s="913"/>
      <c r="J80" s="913"/>
      <c r="K80" s="913"/>
      <c r="L80" s="913"/>
      <c r="M80" s="913"/>
      <c r="N80" s="913"/>
      <c r="O80" s="913"/>
      <c r="P80" s="915"/>
      <c r="Q80" s="915"/>
      <c r="R80" s="833">
        <f>+F80</f>
        <v>58000</v>
      </c>
      <c r="S80" s="838"/>
      <c r="T80" s="838"/>
      <c r="U80" s="838"/>
    </row>
    <row r="81" spans="2:21" ht="21.5">
      <c r="B81" s="509">
        <v>45007</v>
      </c>
      <c r="C81" s="510" t="s">
        <v>589</v>
      </c>
      <c r="D81" s="4"/>
      <c r="E81" s="511"/>
      <c r="F81" s="511">
        <v>58</v>
      </c>
      <c r="G81" s="958"/>
      <c r="H81" s="914"/>
      <c r="I81" s="914"/>
      <c r="J81" s="914"/>
      <c r="K81" s="914"/>
      <c r="L81" s="914"/>
      <c r="M81" s="914"/>
      <c r="N81" s="914"/>
      <c r="O81" s="914"/>
      <c r="P81" s="915"/>
      <c r="Q81" s="915"/>
      <c r="R81" s="833"/>
      <c r="S81" s="838"/>
      <c r="T81" s="838">
        <f>+F81</f>
        <v>58</v>
      </c>
      <c r="U81" s="838"/>
    </row>
    <row r="82" spans="2:21" ht="21.5">
      <c r="B82" s="509">
        <v>45008</v>
      </c>
      <c r="C82" s="510" t="s">
        <v>600</v>
      </c>
      <c r="D82" s="4"/>
      <c r="E82" s="511"/>
      <c r="F82" s="542">
        <v>255.96</v>
      </c>
      <c r="G82" s="957"/>
      <c r="H82" s="913"/>
      <c r="I82" s="913"/>
      <c r="J82" s="913"/>
      <c r="K82" s="913"/>
      <c r="L82" s="913"/>
      <c r="M82" s="913"/>
      <c r="N82" s="913"/>
      <c r="O82" s="913"/>
      <c r="P82" s="915"/>
      <c r="Q82" s="915"/>
      <c r="R82" s="833"/>
      <c r="S82" s="839">
        <f t="shared" ref="S82:S87" si="2">+F82</f>
        <v>255.96</v>
      </c>
      <c r="T82" s="839"/>
      <c r="U82" s="839"/>
    </row>
    <row r="83" spans="2:21">
      <c r="B83" s="509">
        <v>45055</v>
      </c>
      <c r="C83" s="510" t="s">
        <v>604</v>
      </c>
      <c r="D83" s="4"/>
      <c r="E83" s="511"/>
      <c r="F83" s="542">
        <v>63.99</v>
      </c>
      <c r="G83" s="957"/>
      <c r="H83" s="913"/>
      <c r="I83" s="913"/>
      <c r="J83" s="913"/>
      <c r="K83" s="913"/>
      <c r="L83" s="913"/>
      <c r="M83" s="913"/>
      <c r="N83" s="913"/>
      <c r="O83" s="913"/>
      <c r="P83" s="915"/>
      <c r="Q83" s="915"/>
      <c r="R83" s="833"/>
      <c r="S83" s="839">
        <f t="shared" si="2"/>
        <v>63.99</v>
      </c>
      <c r="T83" s="839"/>
      <c r="U83" s="839"/>
    </row>
    <row r="84" spans="2:21">
      <c r="B84" s="509">
        <v>45077</v>
      </c>
      <c r="C84" s="510" t="s">
        <v>606</v>
      </c>
      <c r="D84" s="4"/>
      <c r="E84" s="511"/>
      <c r="F84" s="542">
        <v>65.989999999999995</v>
      </c>
      <c r="G84" s="957"/>
      <c r="H84" s="913"/>
      <c r="I84" s="913"/>
      <c r="J84" s="913"/>
      <c r="K84" s="913"/>
      <c r="L84" s="913"/>
      <c r="M84" s="913"/>
      <c r="N84" s="913"/>
      <c r="O84" s="913"/>
      <c r="P84" s="915"/>
      <c r="Q84" s="915"/>
      <c r="R84" s="833"/>
      <c r="S84" s="839">
        <f t="shared" si="2"/>
        <v>65.989999999999995</v>
      </c>
      <c r="T84" s="839"/>
      <c r="U84" s="839"/>
    </row>
    <row r="85" spans="2:21">
      <c r="B85" s="509">
        <v>45114</v>
      </c>
      <c r="C85" s="541" t="s">
        <v>607</v>
      </c>
      <c r="D85" s="4"/>
      <c r="E85" s="511"/>
      <c r="F85" s="542">
        <v>13.92</v>
      </c>
      <c r="G85" s="957"/>
      <c r="H85" s="913"/>
      <c r="I85" s="913"/>
      <c r="J85" s="913"/>
      <c r="K85" s="913"/>
      <c r="L85" s="913"/>
      <c r="M85" s="913"/>
      <c r="N85" s="913"/>
      <c r="O85" s="913"/>
      <c r="P85" s="915"/>
      <c r="Q85" s="915"/>
      <c r="R85" s="833"/>
      <c r="S85" s="839">
        <f t="shared" si="2"/>
        <v>13.92</v>
      </c>
      <c r="T85" s="839"/>
      <c r="U85" s="839"/>
    </row>
    <row r="86" spans="2:21">
      <c r="B86" s="509">
        <v>45114</v>
      </c>
      <c r="C86" s="541" t="s">
        <v>608</v>
      </c>
      <c r="D86" s="4"/>
      <c r="E86" s="511"/>
      <c r="F86" s="511">
        <v>70.41</v>
      </c>
      <c r="G86" s="958"/>
      <c r="H86" s="914"/>
      <c r="I86" s="914"/>
      <c r="J86" s="914"/>
      <c r="K86" s="914"/>
      <c r="L86" s="914"/>
      <c r="M86" s="914"/>
      <c r="N86" s="914"/>
      <c r="O86" s="914"/>
      <c r="P86" s="915"/>
      <c r="Q86" s="915"/>
      <c r="R86" s="833"/>
      <c r="S86" s="839">
        <f t="shared" si="2"/>
        <v>70.41</v>
      </c>
      <c r="T86" s="839"/>
      <c r="U86" s="839"/>
    </row>
    <row r="87" spans="2:21" ht="21.5">
      <c r="B87" s="509">
        <v>45176</v>
      </c>
      <c r="C87" s="510" t="s">
        <v>599</v>
      </c>
      <c r="D87" s="4"/>
      <c r="E87" s="528"/>
      <c r="F87" s="528">
        <v>127.71</v>
      </c>
      <c r="G87" s="959"/>
      <c r="H87" s="915"/>
      <c r="I87" s="915"/>
      <c r="J87" s="915"/>
      <c r="K87" s="915"/>
      <c r="L87" s="915"/>
      <c r="M87" s="915"/>
      <c r="N87" s="915"/>
      <c r="O87" s="915"/>
      <c r="P87" s="915"/>
      <c r="Q87" s="915"/>
      <c r="R87" s="833"/>
      <c r="S87" s="839">
        <f t="shared" si="2"/>
        <v>127.71</v>
      </c>
      <c r="T87" s="839"/>
      <c r="U87" s="839"/>
    </row>
    <row r="88" spans="2:21" ht="21.5">
      <c r="B88" s="509">
        <v>45279</v>
      </c>
      <c r="C88" s="541" t="s">
        <v>648</v>
      </c>
      <c r="D88" s="4"/>
      <c r="E88" s="511"/>
      <c r="F88" s="511">
        <v>73.260000000000005</v>
      </c>
      <c r="G88" s="958"/>
      <c r="H88" s="914"/>
      <c r="I88" s="914"/>
      <c r="J88" s="914"/>
      <c r="K88" s="914"/>
      <c r="L88" s="914"/>
      <c r="M88" s="914"/>
      <c r="N88" s="914"/>
      <c r="O88" s="914"/>
      <c r="P88" s="915"/>
      <c r="Q88" s="915"/>
      <c r="R88" s="833"/>
      <c r="S88" s="839"/>
      <c r="T88" s="839"/>
      <c r="U88" s="839">
        <f>+F88</f>
        <v>73.260000000000005</v>
      </c>
    </row>
    <row r="89" spans="2:21" ht="21.5">
      <c r="B89" s="509">
        <v>45279</v>
      </c>
      <c r="C89" s="541" t="s">
        <v>647</v>
      </c>
      <c r="D89" s="4"/>
      <c r="E89" s="511"/>
      <c r="F89" s="511">
        <v>43.6</v>
      </c>
      <c r="G89" s="958"/>
      <c r="H89" s="914"/>
      <c r="I89" s="914"/>
      <c r="J89" s="914"/>
      <c r="K89" s="914"/>
      <c r="L89" s="914"/>
      <c r="M89" s="914"/>
      <c r="N89" s="914"/>
      <c r="O89" s="914"/>
      <c r="P89" s="915"/>
      <c r="Q89" s="915"/>
      <c r="R89" s="833"/>
      <c r="S89" s="838"/>
      <c r="T89" s="838"/>
      <c r="U89" s="838">
        <f>+F89</f>
        <v>43.6</v>
      </c>
    </row>
    <row r="90" spans="2:21" ht="21.5">
      <c r="B90" s="509">
        <v>45252</v>
      </c>
      <c r="C90" s="510" t="s">
        <v>631</v>
      </c>
      <c r="D90" s="4"/>
      <c r="E90" s="511"/>
      <c r="F90" s="511">
        <v>19.399999999999999</v>
      </c>
      <c r="G90" s="958"/>
      <c r="H90" s="914"/>
      <c r="I90" s="914"/>
      <c r="J90" s="914"/>
      <c r="K90" s="914"/>
      <c r="L90" s="914"/>
      <c r="M90" s="914"/>
      <c r="N90" s="914"/>
      <c r="O90" s="914"/>
      <c r="P90" s="915"/>
      <c r="Q90" s="915"/>
      <c r="R90" s="833"/>
      <c r="S90" s="838"/>
      <c r="T90" s="838">
        <f>+F90</f>
        <v>19.399999999999999</v>
      </c>
      <c r="U90" s="838"/>
    </row>
    <row r="91" spans="2:21" ht="31.5">
      <c r="B91" s="509">
        <v>45252</v>
      </c>
      <c r="C91" s="510" t="s">
        <v>632</v>
      </c>
      <c r="D91" s="4"/>
      <c r="E91" s="511"/>
      <c r="F91" s="788">
        <v>2751</v>
      </c>
      <c r="G91" s="960"/>
      <c r="H91" s="916"/>
      <c r="I91" s="916"/>
      <c r="J91" s="916"/>
      <c r="K91" s="916"/>
      <c r="L91" s="916"/>
      <c r="M91" s="916"/>
      <c r="N91" s="916"/>
      <c r="O91" s="916"/>
      <c r="P91" s="915"/>
      <c r="Q91" s="915"/>
      <c r="R91" s="833"/>
      <c r="S91" s="838"/>
      <c r="T91" s="838"/>
      <c r="U91" s="838"/>
    </row>
    <row r="92" spans="2:21" ht="31.5">
      <c r="B92" s="509">
        <v>45252</v>
      </c>
      <c r="C92" s="510" t="s">
        <v>632</v>
      </c>
      <c r="D92" s="4"/>
      <c r="E92" s="511"/>
      <c r="F92" s="511">
        <v>1221</v>
      </c>
      <c r="G92" s="958"/>
      <c r="H92" s="914"/>
      <c r="I92" s="914"/>
      <c r="J92" s="914"/>
      <c r="K92" s="914"/>
      <c r="L92" s="914"/>
      <c r="M92" s="914"/>
      <c r="N92" s="914"/>
      <c r="O92" s="914"/>
      <c r="P92" s="915"/>
      <c r="Q92" s="915"/>
      <c r="R92" s="833">
        <f>+F92</f>
        <v>1221</v>
      </c>
      <c r="S92" s="838"/>
      <c r="T92" s="838"/>
      <c r="U92" s="838"/>
    </row>
    <row r="93" spans="2:21">
      <c r="B93" s="509">
        <v>45251</v>
      </c>
      <c r="C93" s="510" t="s">
        <v>642</v>
      </c>
      <c r="D93" s="4"/>
      <c r="E93" s="788">
        <v>917</v>
      </c>
      <c r="F93" s="511"/>
      <c r="G93" s="958"/>
      <c r="H93" s="914"/>
      <c r="I93" s="914"/>
      <c r="J93" s="914"/>
      <c r="K93" s="914"/>
      <c r="L93" s="914"/>
      <c r="M93" s="914"/>
      <c r="N93" s="914"/>
      <c r="O93" s="914"/>
      <c r="P93" s="915"/>
      <c r="Q93" s="915"/>
      <c r="R93" s="833"/>
      <c r="S93" s="838"/>
      <c r="T93" s="838"/>
      <c r="U93" s="838"/>
    </row>
    <row r="94" spans="2:21" ht="20">
      <c r="B94" s="509">
        <v>45247</v>
      </c>
      <c r="C94" s="575" t="s">
        <v>639</v>
      </c>
      <c r="D94" s="4"/>
      <c r="E94" s="788">
        <v>917</v>
      </c>
      <c r="F94" s="511"/>
      <c r="G94" s="958"/>
      <c r="H94" s="914"/>
      <c r="I94" s="914"/>
      <c r="J94" s="914"/>
      <c r="K94" s="914"/>
      <c r="L94" s="914"/>
      <c r="M94" s="914"/>
      <c r="N94" s="914"/>
      <c r="O94" s="914"/>
      <c r="P94" s="915"/>
      <c r="Q94" s="915"/>
      <c r="R94" s="833"/>
      <c r="S94" s="838"/>
      <c r="T94" s="838"/>
      <c r="U94" s="838"/>
    </row>
    <row r="95" spans="2:21" ht="21.5">
      <c r="B95" s="509">
        <v>45246</v>
      </c>
      <c r="C95" s="510" t="s">
        <v>640</v>
      </c>
      <c r="D95" s="4"/>
      <c r="E95" s="788">
        <v>917</v>
      </c>
      <c r="F95" s="511"/>
      <c r="G95" s="958"/>
      <c r="H95" s="914"/>
      <c r="I95" s="914"/>
      <c r="J95" s="914"/>
      <c r="K95" s="914"/>
      <c r="L95" s="914"/>
      <c r="M95" s="914"/>
      <c r="N95" s="914"/>
      <c r="O95" s="914"/>
      <c r="P95" s="915"/>
      <c r="Q95" s="915"/>
      <c r="R95" s="833"/>
      <c r="S95" s="838"/>
      <c r="T95" s="838"/>
      <c r="U95" s="838"/>
    </row>
    <row r="96" spans="2:21" ht="21.5">
      <c r="B96" s="509">
        <v>45244</v>
      </c>
      <c r="C96" s="510" t="s">
        <v>633</v>
      </c>
      <c r="D96" s="4"/>
      <c r="E96" s="511"/>
      <c r="F96" s="511">
        <v>123.98</v>
      </c>
      <c r="G96" s="958"/>
      <c r="H96" s="914"/>
      <c r="I96" s="914"/>
      <c r="J96" s="914"/>
      <c r="K96" s="914"/>
      <c r="L96" s="914"/>
      <c r="M96" s="914"/>
      <c r="N96" s="914"/>
      <c r="O96" s="914"/>
      <c r="P96" s="915"/>
      <c r="Q96" s="915"/>
      <c r="R96" s="833"/>
      <c r="S96" s="839">
        <f>+F96</f>
        <v>123.98</v>
      </c>
      <c r="T96" s="839"/>
      <c r="U96" s="839"/>
    </row>
    <row r="97" spans="2:25" ht="21.5">
      <c r="B97" s="509">
        <v>45237</v>
      </c>
      <c r="C97" s="510" t="s">
        <v>635</v>
      </c>
      <c r="D97" s="4"/>
      <c r="E97" s="511"/>
      <c r="F97" s="511">
        <v>24</v>
      </c>
      <c r="G97" s="958"/>
      <c r="H97" s="914"/>
      <c r="I97" s="914"/>
      <c r="J97" s="914"/>
      <c r="K97" s="914"/>
      <c r="L97" s="914"/>
      <c r="M97" s="914"/>
      <c r="N97" s="914"/>
      <c r="O97" s="914"/>
      <c r="P97" s="915"/>
      <c r="Q97" s="915"/>
      <c r="R97" s="833"/>
      <c r="S97" s="838"/>
      <c r="T97" s="838">
        <f>+F97</f>
        <v>24</v>
      </c>
      <c r="U97" s="838"/>
    </row>
    <row r="98" spans="2:25" ht="21.5">
      <c r="B98" s="509">
        <v>45223</v>
      </c>
      <c r="C98" s="510" t="s">
        <v>631</v>
      </c>
      <c r="D98" s="4"/>
      <c r="E98" s="511"/>
      <c r="F98" s="511">
        <v>19.399999999999999</v>
      </c>
      <c r="G98" s="958"/>
      <c r="H98" s="914"/>
      <c r="I98" s="914"/>
      <c r="J98" s="914"/>
      <c r="K98" s="914"/>
      <c r="L98" s="914"/>
      <c r="M98" s="914"/>
      <c r="N98" s="914"/>
      <c r="O98" s="914"/>
      <c r="P98" s="915"/>
      <c r="Q98" s="915"/>
      <c r="R98" s="833"/>
      <c r="S98" s="838"/>
      <c r="T98" s="838">
        <f>+F98</f>
        <v>19.399999999999999</v>
      </c>
      <c r="U98" s="838"/>
    </row>
    <row r="99" spans="2:25" ht="31.5">
      <c r="B99" s="509">
        <v>45223</v>
      </c>
      <c r="C99" s="510" t="s">
        <v>637</v>
      </c>
      <c r="D99" s="4"/>
      <c r="E99" s="511"/>
      <c r="F99" s="511">
        <v>3000</v>
      </c>
      <c r="G99" s="958"/>
      <c r="H99" s="914"/>
      <c r="I99" s="914"/>
      <c r="J99" s="914"/>
      <c r="K99" s="914"/>
      <c r="L99" s="914"/>
      <c r="M99" s="914"/>
      <c r="N99" s="914"/>
      <c r="O99" s="914"/>
      <c r="P99" s="915"/>
      <c r="Q99" s="915"/>
      <c r="R99" s="833">
        <f>+F99</f>
        <v>3000</v>
      </c>
      <c r="S99" s="838"/>
      <c r="T99" s="838"/>
      <c r="U99" s="838"/>
    </row>
    <row r="100" spans="2:25" s="240" customFormat="1">
      <c r="B100" s="876">
        <v>45292</v>
      </c>
      <c r="C100" s="877" t="s">
        <v>831</v>
      </c>
      <c r="D100" s="61"/>
      <c r="E100" s="878"/>
      <c r="F100" s="878">
        <v>123.98</v>
      </c>
      <c r="G100" s="961"/>
      <c r="H100" s="917"/>
      <c r="I100" s="917"/>
      <c r="J100" s="917"/>
      <c r="K100" s="917"/>
      <c r="L100" s="917"/>
      <c r="M100" s="917"/>
      <c r="N100" s="917"/>
      <c r="O100" s="917"/>
      <c r="P100" s="927"/>
      <c r="Q100" s="927"/>
      <c r="R100" s="879"/>
      <c r="S100" s="834">
        <v>123.98</v>
      </c>
      <c r="T100" s="834"/>
      <c r="U100" s="834"/>
      <c r="V100" s="880"/>
      <c r="W100" s="880"/>
      <c r="X100" s="828"/>
      <c r="Y100" s="828"/>
    </row>
    <row r="101" spans="2:25" s="240" customFormat="1">
      <c r="B101" s="876">
        <v>45324</v>
      </c>
      <c r="C101" s="877" t="s">
        <v>834</v>
      </c>
      <c r="D101" s="61"/>
      <c r="E101" s="878"/>
      <c r="F101" s="878">
        <f>+S101</f>
        <v>61.99</v>
      </c>
      <c r="G101" s="961"/>
      <c r="H101" s="917"/>
      <c r="I101" s="917"/>
      <c r="J101" s="917"/>
      <c r="K101" s="917"/>
      <c r="L101" s="917"/>
      <c r="M101" s="917"/>
      <c r="N101" s="917"/>
      <c r="O101" s="917"/>
      <c r="P101" s="927"/>
      <c r="Q101" s="927"/>
      <c r="R101" s="879"/>
      <c r="S101" s="834">
        <v>61.99</v>
      </c>
      <c r="T101" s="834"/>
      <c r="U101" s="834"/>
      <c r="V101" s="880"/>
      <c r="W101" s="880"/>
      <c r="X101" s="828"/>
      <c r="Y101" s="828"/>
    </row>
    <row r="102" spans="2:25" s="240" customFormat="1">
      <c r="B102" s="876"/>
      <c r="C102" s="877" t="s">
        <v>835</v>
      </c>
      <c r="D102" s="61"/>
      <c r="E102" s="878"/>
      <c r="F102" s="885">
        <f>+R73</f>
        <v>2034.3719024400052</v>
      </c>
      <c r="G102" s="962"/>
      <c r="H102" s="918"/>
      <c r="I102" s="918"/>
      <c r="J102" s="918"/>
      <c r="K102" s="918"/>
      <c r="L102" s="918"/>
      <c r="M102" s="918"/>
      <c r="N102" s="918"/>
      <c r="O102" s="918"/>
      <c r="P102" s="927"/>
      <c r="Q102" s="927"/>
      <c r="R102" s="879"/>
      <c r="S102" s="834"/>
      <c r="T102" s="834"/>
      <c r="U102" s="834"/>
      <c r="V102" s="880"/>
      <c r="W102" s="880"/>
      <c r="X102" s="828"/>
      <c r="Y102" s="828"/>
    </row>
  </sheetData>
  <pageMargins left="0.11811023622047245" right="0.11811023622047245" top="0.15748031496062992" bottom="0.15748031496062992" header="0.31496062992125984" footer="0.31496062992125984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6" zoomScaleNormal="96" zoomScalePageLayoutView="96" workbookViewId="0">
      <selection activeCell="M13" activeCellId="1" sqref="L13 M13"/>
    </sheetView>
  </sheetViews>
  <sheetFormatPr baseColWidth="10" defaultRowHeight="14.5"/>
  <cols>
    <col min="1" max="1" width="36.6640625" style="583" customWidth="1"/>
    <col min="2" max="2" width="10.4140625" style="583" customWidth="1"/>
    <col min="3" max="3" width="7.5" style="583" customWidth="1"/>
    <col min="4" max="4" width="6.6640625" style="583" customWidth="1"/>
    <col min="5" max="5" width="6" style="583" customWidth="1"/>
    <col min="6" max="6" width="4.4140625" style="583" customWidth="1"/>
    <col min="7" max="7" width="1.6640625" style="583" customWidth="1"/>
    <col min="8" max="8" width="10.83203125" style="583" customWidth="1"/>
    <col min="9" max="9" width="6.83203125" style="583" customWidth="1"/>
    <col min="10" max="10" width="7.9140625" style="583" customWidth="1"/>
    <col min="11" max="11" width="4.75" style="583" customWidth="1"/>
    <col min="12" max="12" width="8.08203125" style="583" customWidth="1"/>
    <col min="13" max="13" width="8.6640625" style="583" customWidth="1"/>
    <col min="14" max="14" width="10.6640625" style="700"/>
    <col min="15" max="15" width="10.6640625" style="672"/>
    <col min="16" max="16384" width="10.6640625" style="583"/>
  </cols>
  <sheetData>
    <row r="1" spans="1:17" ht="4.75" customHeight="1"/>
    <row r="2" spans="1:17" ht="18" customHeight="1" thickBot="1">
      <c r="A2" s="1452" t="s">
        <v>651</v>
      </c>
      <c r="B2" s="1452"/>
      <c r="C2" s="1452"/>
      <c r="D2" s="1452"/>
      <c r="E2" s="1452"/>
      <c r="F2" s="1452"/>
      <c r="G2" s="1452"/>
      <c r="H2" s="1452"/>
      <c r="I2" s="1452"/>
      <c r="J2" s="1452"/>
      <c r="K2" s="1452"/>
      <c r="L2" s="1452"/>
      <c r="M2" s="1452"/>
    </row>
    <row r="3" spans="1:17" ht="17.5" customHeight="1" thickBot="1">
      <c r="A3" s="1453" t="s">
        <v>652</v>
      </c>
      <c r="B3" s="1454"/>
      <c r="C3" s="1454"/>
      <c r="D3" s="1454"/>
      <c r="E3" s="1454"/>
      <c r="F3" s="1454"/>
      <c r="G3" s="1454"/>
      <c r="H3" s="1454"/>
      <c r="I3" s="1454"/>
      <c r="J3" s="1454"/>
      <c r="K3" s="1454"/>
      <c r="L3" s="584" t="s">
        <v>653</v>
      </c>
      <c r="M3" s="585" t="s">
        <v>654</v>
      </c>
    </row>
    <row r="4" spans="1:17" ht="14.5" customHeight="1" thickBot="1">
      <c r="A4" s="1455" t="s">
        <v>211</v>
      </c>
      <c r="B4" s="1456"/>
      <c r="C4" s="1456"/>
      <c r="D4" s="1456"/>
      <c r="E4" s="1456"/>
      <c r="F4" s="1457"/>
      <c r="G4" s="586"/>
      <c r="H4" s="1455" t="s">
        <v>212</v>
      </c>
      <c r="I4" s="1456"/>
      <c r="J4" s="1456"/>
      <c r="K4" s="1456"/>
      <c r="L4" s="587" t="s">
        <v>655</v>
      </c>
      <c r="M4" s="588" t="s">
        <v>656</v>
      </c>
    </row>
    <row r="5" spans="1:17" ht="27" thickBot="1">
      <c r="A5" s="719" t="s">
        <v>217</v>
      </c>
      <c r="B5" s="720" t="s">
        <v>218</v>
      </c>
      <c r="C5" s="721" t="s">
        <v>657</v>
      </c>
      <c r="D5" s="589" t="s">
        <v>258</v>
      </c>
      <c r="E5" s="590" t="s">
        <v>253</v>
      </c>
      <c r="F5" s="591" t="s">
        <v>214</v>
      </c>
      <c r="G5" s="592"/>
      <c r="H5" s="714" t="s">
        <v>215</v>
      </c>
      <c r="I5" s="715" t="s">
        <v>658</v>
      </c>
      <c r="J5" s="715" t="s">
        <v>659</v>
      </c>
      <c r="K5" s="716" t="s">
        <v>214</v>
      </c>
      <c r="L5" s="717"/>
      <c r="M5" s="718"/>
    </row>
    <row r="6" spans="1:17" ht="27" thickBot="1">
      <c r="A6" s="593" t="s">
        <v>719</v>
      </c>
      <c r="B6" s="594" t="s">
        <v>660</v>
      </c>
      <c r="C6" s="595">
        <v>1200</v>
      </c>
      <c r="D6" s="596">
        <v>1200</v>
      </c>
      <c r="E6" s="597">
        <v>0</v>
      </c>
      <c r="F6" s="598">
        <v>0.01</v>
      </c>
      <c r="G6" s="599"/>
      <c r="H6" s="600" t="s">
        <v>60</v>
      </c>
      <c r="I6" s="601" t="s">
        <v>661</v>
      </c>
      <c r="J6" s="602">
        <v>5500</v>
      </c>
      <c r="K6" s="603">
        <f>+J6/C29</f>
        <v>5.0001363673554733E-2</v>
      </c>
      <c r="L6" s="1458" t="s">
        <v>662</v>
      </c>
      <c r="M6" s="1459"/>
    </row>
    <row r="7" spans="1:17" ht="43" customHeight="1">
      <c r="A7" s="685" t="s">
        <v>720</v>
      </c>
      <c r="B7" s="686" t="s">
        <v>663</v>
      </c>
      <c r="C7" s="704">
        <v>287</v>
      </c>
      <c r="D7" s="604">
        <v>287</v>
      </c>
      <c r="E7" s="605">
        <v>0</v>
      </c>
      <c r="F7" s="598">
        <v>0</v>
      </c>
      <c r="G7" s="599"/>
      <c r="H7" s="606"/>
      <c r="I7" s="607"/>
      <c r="J7" s="607"/>
      <c r="K7" s="608"/>
      <c r="L7" s="609"/>
      <c r="M7" s="610"/>
      <c r="P7" s="672">
        <f>D13-O10</f>
        <v>7200</v>
      </c>
    </row>
    <row r="8" spans="1:17" ht="26.5">
      <c r="A8" s="593" t="s">
        <v>664</v>
      </c>
      <c r="B8" s="607" t="s">
        <v>665</v>
      </c>
      <c r="C8" s="611">
        <v>2400</v>
      </c>
      <c r="D8" s="596">
        <v>2400</v>
      </c>
      <c r="E8" s="597">
        <v>0</v>
      </c>
      <c r="F8" s="598">
        <v>0.02</v>
      </c>
      <c r="G8" s="599"/>
      <c r="H8" s="606"/>
      <c r="I8" s="607"/>
      <c r="J8" s="607"/>
      <c r="K8" s="608"/>
      <c r="L8" s="612"/>
      <c r="M8" s="613"/>
      <c r="P8" s="672">
        <f>C14-O11</f>
        <v>280</v>
      </c>
    </row>
    <row r="9" spans="1:17" ht="39.5">
      <c r="A9" s="682" t="s">
        <v>666</v>
      </c>
      <c r="B9" s="683" t="s">
        <v>667</v>
      </c>
      <c r="C9" s="684">
        <v>1800</v>
      </c>
      <c r="D9" s="596">
        <v>1800</v>
      </c>
      <c r="E9" s="597">
        <v>0</v>
      </c>
      <c r="F9" s="598">
        <v>0.02</v>
      </c>
      <c r="G9" s="599"/>
      <c r="H9" s="606"/>
      <c r="I9" s="607"/>
      <c r="J9" s="607"/>
      <c r="K9" s="608"/>
      <c r="L9" s="612"/>
      <c r="M9" s="613"/>
      <c r="O9" s="705" t="s">
        <v>718</v>
      </c>
    </row>
    <row r="10" spans="1:17" ht="27" thickBot="1">
      <c r="A10" s="593" t="s">
        <v>668</v>
      </c>
      <c r="B10" s="594" t="s">
        <v>669</v>
      </c>
      <c r="C10" s="611">
        <v>1200</v>
      </c>
      <c r="D10" s="596">
        <v>1200</v>
      </c>
      <c r="E10" s="597">
        <v>0</v>
      </c>
      <c r="F10" s="598">
        <v>0.01</v>
      </c>
      <c r="G10" s="599"/>
      <c r="H10" s="614" t="s">
        <v>670</v>
      </c>
      <c r="I10" s="615"/>
      <c r="J10" s="615"/>
      <c r="K10" s="616"/>
      <c r="L10" s="617"/>
      <c r="M10" s="618"/>
      <c r="N10" s="701">
        <v>0.9</v>
      </c>
      <c r="O10" s="677">
        <f>72000*0.9</f>
        <v>64800</v>
      </c>
      <c r="P10" s="583">
        <v>52000</v>
      </c>
      <c r="Q10" s="672">
        <f>+O10+O11-P10</f>
        <v>15320</v>
      </c>
    </row>
    <row r="11" spans="1:17" ht="26.5">
      <c r="A11" s="593" t="s">
        <v>671</v>
      </c>
      <c r="B11" s="594" t="s">
        <v>672</v>
      </c>
      <c r="C11" s="611">
        <v>310</v>
      </c>
      <c r="D11" s="596">
        <v>310</v>
      </c>
      <c r="E11" s="597">
        <v>0</v>
      </c>
      <c r="F11" s="598">
        <v>0</v>
      </c>
      <c r="G11" s="599"/>
      <c r="H11" s="619" t="s">
        <v>673</v>
      </c>
      <c r="I11" s="620" t="s">
        <v>216</v>
      </c>
      <c r="J11" s="621">
        <v>10000</v>
      </c>
      <c r="K11" s="622">
        <v>0.1</v>
      </c>
      <c r="L11" s="623">
        <v>6667</v>
      </c>
      <c r="M11" s="624">
        <v>3333</v>
      </c>
      <c r="N11" s="701">
        <v>0.9</v>
      </c>
      <c r="O11" s="678">
        <f>2800*0.9</f>
        <v>2520</v>
      </c>
    </row>
    <row r="12" spans="1:17" ht="39.5">
      <c r="A12" s="669" t="s">
        <v>674</v>
      </c>
      <c r="B12" s="670" t="s">
        <v>675</v>
      </c>
      <c r="C12" s="671">
        <v>2000</v>
      </c>
      <c r="D12" s="596">
        <v>0</v>
      </c>
      <c r="E12" s="597">
        <v>2000</v>
      </c>
      <c r="F12" s="598">
        <v>0.02</v>
      </c>
      <c r="G12" s="599"/>
      <c r="H12" s="606"/>
      <c r="I12" s="607"/>
      <c r="J12" s="607"/>
      <c r="K12" s="608"/>
      <c r="L12" s="625"/>
      <c r="M12" s="626"/>
      <c r="O12" s="677">
        <f>SUM(O9:O11)</f>
        <v>67320</v>
      </c>
    </row>
    <row r="13" spans="1:17" ht="52.5">
      <c r="A13" s="673" t="s">
        <v>676</v>
      </c>
      <c r="B13" s="674" t="s">
        <v>677</v>
      </c>
      <c r="C13" s="675">
        <v>72000</v>
      </c>
      <c r="D13" s="676">
        <v>72000</v>
      </c>
      <c r="E13" s="597">
        <v>0</v>
      </c>
      <c r="F13" s="598">
        <v>0.72</v>
      </c>
      <c r="G13" s="599"/>
      <c r="H13" s="619" t="s">
        <v>553</v>
      </c>
      <c r="I13" s="620" t="s">
        <v>661</v>
      </c>
      <c r="J13" s="621">
        <v>54497</v>
      </c>
      <c r="K13" s="622">
        <v>0.54</v>
      </c>
      <c r="L13" s="627">
        <v>38152.800000000003</v>
      </c>
      <c r="M13" s="628">
        <v>16344.2</v>
      </c>
      <c r="O13" s="679">
        <v>58000</v>
      </c>
    </row>
    <row r="14" spans="1:17" ht="26.5">
      <c r="A14" s="673" t="s">
        <v>678</v>
      </c>
      <c r="B14" s="674" t="s">
        <v>679</v>
      </c>
      <c r="C14" s="675">
        <v>2800</v>
      </c>
      <c r="D14" s="676">
        <v>2800</v>
      </c>
      <c r="E14" s="597">
        <v>0</v>
      </c>
      <c r="F14" s="598">
        <v>0.03</v>
      </c>
      <c r="G14" s="599"/>
      <c r="H14" s="606"/>
      <c r="I14" s="607"/>
      <c r="J14" s="607"/>
      <c r="K14" s="608"/>
      <c r="L14" s="625"/>
      <c r="M14" s="626"/>
      <c r="O14" s="681">
        <f>+O12-O13</f>
        <v>9320</v>
      </c>
    </row>
    <row r="15" spans="1:17" ht="39.5">
      <c r="A15" s="669" t="s">
        <v>717</v>
      </c>
      <c r="B15" s="670" t="s">
        <v>675</v>
      </c>
      <c r="C15" s="671">
        <v>5200</v>
      </c>
      <c r="D15" s="596">
        <v>0</v>
      </c>
      <c r="E15" s="597">
        <v>5200</v>
      </c>
      <c r="F15" s="598">
        <v>0.05</v>
      </c>
      <c r="G15" s="599"/>
      <c r="H15" s="614" t="s">
        <v>680</v>
      </c>
      <c r="I15" s="615"/>
      <c r="J15" s="615"/>
      <c r="K15" s="616"/>
      <c r="L15" s="625"/>
      <c r="M15" s="626"/>
    </row>
    <row r="16" spans="1:17" ht="39.5">
      <c r="A16" s="593" t="s">
        <v>681</v>
      </c>
      <c r="B16" s="594" t="s">
        <v>682</v>
      </c>
      <c r="C16" s="611">
        <v>2000</v>
      </c>
      <c r="D16" s="596">
        <v>500</v>
      </c>
      <c r="E16" s="597">
        <v>1500</v>
      </c>
      <c r="F16" s="598">
        <v>0.02</v>
      </c>
      <c r="G16" s="599"/>
      <c r="H16" s="619" t="s">
        <v>683</v>
      </c>
      <c r="I16" s="620" t="s">
        <v>661</v>
      </c>
      <c r="J16" s="621">
        <v>30000</v>
      </c>
      <c r="K16" s="622">
        <v>0.3</v>
      </c>
      <c r="L16" s="629">
        <v>15000</v>
      </c>
      <c r="M16" s="706">
        <v>15000</v>
      </c>
      <c r="O16" s="680">
        <v>52000</v>
      </c>
    </row>
    <row r="17" spans="1:16" ht="26.5">
      <c r="A17" s="685" t="s">
        <v>684</v>
      </c>
      <c r="B17" s="686" t="s">
        <v>685</v>
      </c>
      <c r="C17" s="687">
        <v>5700</v>
      </c>
      <c r="D17" s="596">
        <v>5700</v>
      </c>
      <c r="E17" s="597">
        <v>0</v>
      </c>
      <c r="F17" s="598">
        <v>0.06</v>
      </c>
      <c r="G17" s="599"/>
      <c r="H17" s="606"/>
      <c r="I17" s="607"/>
      <c r="J17" s="607"/>
      <c r="K17" s="608"/>
      <c r="L17" s="625"/>
      <c r="M17" s="626"/>
      <c r="O17" s="680">
        <v>6400</v>
      </c>
    </row>
    <row r="18" spans="1:16" ht="26.5">
      <c r="A18" s="593" t="s">
        <v>686</v>
      </c>
      <c r="B18" s="594" t="s">
        <v>687</v>
      </c>
      <c r="C18" s="611">
        <v>1600</v>
      </c>
      <c r="D18" s="596">
        <v>1600</v>
      </c>
      <c r="E18" s="597">
        <v>0</v>
      </c>
      <c r="F18" s="598">
        <v>0.02</v>
      </c>
      <c r="G18" s="599"/>
      <c r="H18" s="606"/>
      <c r="I18" s="607"/>
      <c r="J18" s="607"/>
      <c r="K18" s="608"/>
      <c r="L18" s="625"/>
      <c r="M18" s="626"/>
      <c r="O18" s="672">
        <f>+O14+O17</f>
        <v>15720</v>
      </c>
    </row>
    <row r="19" spans="1:16" ht="26.5">
      <c r="A19" s="669" t="s">
        <v>716</v>
      </c>
      <c r="B19" s="670" t="s">
        <v>675</v>
      </c>
      <c r="C19" s="671">
        <v>1500</v>
      </c>
      <c r="D19" s="596">
        <v>1000</v>
      </c>
      <c r="E19" s="597">
        <v>500</v>
      </c>
      <c r="F19" s="699">
        <v>0.02</v>
      </c>
      <c r="G19" s="599"/>
      <c r="H19" s="606"/>
      <c r="I19" s="607"/>
      <c r="J19" s="607"/>
      <c r="K19" s="608"/>
      <c r="L19" s="625"/>
      <c r="M19" s="626"/>
      <c r="O19" s="672">
        <f>641*2</f>
        <v>1282</v>
      </c>
      <c r="P19" s="583">
        <f>+O19/4</f>
        <v>320.5</v>
      </c>
    </row>
    <row r="20" spans="1:16" ht="12" customHeight="1" thickBot="1">
      <c r="A20" s="688" t="s">
        <v>688</v>
      </c>
      <c r="B20" s="689"/>
      <c r="C20" s="690">
        <f>SUM(C6:C19)</f>
        <v>99997</v>
      </c>
      <c r="D20" s="692">
        <f>SUM(D6:D19)</f>
        <v>90797</v>
      </c>
      <c r="E20" s="693">
        <f>SUM(E6:E19)</f>
        <v>9200</v>
      </c>
      <c r="F20" s="694">
        <f>SUM(F6:F19)</f>
        <v>1</v>
      </c>
      <c r="G20" s="695"/>
      <c r="H20" s="696"/>
      <c r="I20" s="691"/>
      <c r="J20" s="691">
        <f>SUM(J6:J19)</f>
        <v>99997</v>
      </c>
      <c r="K20" s="690">
        <f>SUM(K6:K19)</f>
        <v>0.99000136367355474</v>
      </c>
      <c r="L20" s="697">
        <f>SUM(L11:L19)</f>
        <v>59819.8</v>
      </c>
      <c r="M20" s="698">
        <f>SUM(M11:M19)</f>
        <v>34677.199999999997</v>
      </c>
      <c r="O20" s="703">
        <v>1221</v>
      </c>
      <c r="P20" s="583">
        <f>-P19+O19</f>
        <v>961.5</v>
      </c>
    </row>
    <row r="21" spans="1:16" ht="17.5" customHeight="1" thickBot="1">
      <c r="A21" s="599"/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O21" s="702">
        <f>O19-O20</f>
        <v>61</v>
      </c>
    </row>
    <row r="22" spans="1:16" ht="15" thickBot="1">
      <c r="A22" s="1460" t="s">
        <v>689</v>
      </c>
      <c r="B22" s="1461"/>
      <c r="C22" s="1461"/>
      <c r="D22" s="1461"/>
      <c r="E22" s="1461"/>
      <c r="F22" s="1462"/>
      <c r="G22" s="630"/>
      <c r="H22" s="1463" t="s">
        <v>690</v>
      </c>
      <c r="I22" s="1464"/>
      <c r="J22" s="1464"/>
      <c r="K22" s="1464"/>
      <c r="L22" s="631"/>
      <c r="M22" s="632"/>
    </row>
    <row r="23" spans="1:16">
      <c r="A23" s="633" t="s">
        <v>217</v>
      </c>
      <c r="B23" s="634" t="s">
        <v>218</v>
      </c>
      <c r="C23" s="634" t="s">
        <v>691</v>
      </c>
      <c r="D23" s="635"/>
      <c r="E23" s="635"/>
      <c r="F23" s="635" t="s">
        <v>692</v>
      </c>
      <c r="G23" s="636"/>
      <c r="H23" s="637" t="s">
        <v>217</v>
      </c>
      <c r="I23" s="638" t="s">
        <v>218</v>
      </c>
      <c r="J23" s="638" t="s">
        <v>691</v>
      </c>
      <c r="K23" s="639" t="s">
        <v>693</v>
      </c>
      <c r="L23" s="612"/>
      <c r="M23" s="613"/>
      <c r="O23" s="672">
        <f>+D20</f>
        <v>90797</v>
      </c>
    </row>
    <row r="24" spans="1:16">
      <c r="A24" s="1446" t="s">
        <v>694</v>
      </c>
      <c r="B24" s="1447"/>
      <c r="C24" s="1447"/>
      <c r="D24" s="1447"/>
      <c r="E24" s="1447"/>
      <c r="F24" s="1447"/>
      <c r="G24" s="636"/>
      <c r="H24" s="1448" t="s">
        <v>694</v>
      </c>
      <c r="I24" s="1449"/>
      <c r="J24" s="1449"/>
      <c r="K24" s="1449"/>
      <c r="L24" s="612"/>
      <c r="M24" s="613"/>
    </row>
    <row r="25" spans="1:16" ht="42.5" customHeight="1">
      <c r="A25" s="593" t="s">
        <v>695</v>
      </c>
      <c r="B25" s="640" t="s">
        <v>696</v>
      </c>
      <c r="C25" s="641">
        <v>3000</v>
      </c>
      <c r="D25" s="642">
        <v>3000</v>
      </c>
      <c r="E25" s="642">
        <v>0</v>
      </c>
      <c r="F25" s="643">
        <v>0.3</v>
      </c>
      <c r="G25" s="644"/>
      <c r="H25" s="593" t="s">
        <v>695</v>
      </c>
      <c r="I25" s="640" t="s">
        <v>697</v>
      </c>
      <c r="J25" s="641">
        <v>3000</v>
      </c>
      <c r="K25" s="643">
        <v>0.3</v>
      </c>
      <c r="L25" s="1450" t="s">
        <v>698</v>
      </c>
      <c r="M25" s="1451"/>
    </row>
    <row r="26" spans="1:16" ht="39" customHeight="1" thickBot="1">
      <c r="A26" s="593" t="s">
        <v>699</v>
      </c>
      <c r="B26" s="645"/>
      <c r="C26" s="645"/>
      <c r="D26" s="646"/>
      <c r="E26" s="646"/>
      <c r="F26" s="646"/>
      <c r="G26" s="644"/>
      <c r="H26" s="593" t="s">
        <v>699</v>
      </c>
      <c r="I26" s="645"/>
      <c r="J26" s="645"/>
      <c r="K26" s="646"/>
      <c r="L26" s="647" t="s">
        <v>700</v>
      </c>
      <c r="M26" s="648"/>
    </row>
    <row r="27" spans="1:16" ht="39" customHeight="1">
      <c r="A27" s="593" t="s">
        <v>701</v>
      </c>
      <c r="B27" s="640" t="s">
        <v>702</v>
      </c>
      <c r="C27" s="641">
        <v>7000</v>
      </c>
      <c r="D27" s="642">
        <v>0</v>
      </c>
      <c r="E27" s="642">
        <v>7000</v>
      </c>
      <c r="F27" s="643">
        <v>0.7</v>
      </c>
      <c r="G27" s="644"/>
      <c r="H27" s="593" t="s">
        <v>701</v>
      </c>
      <c r="I27" s="640" t="s">
        <v>697</v>
      </c>
      <c r="J27" s="641">
        <v>7000</v>
      </c>
      <c r="K27" s="643">
        <v>0.7</v>
      </c>
      <c r="L27" s="649" t="s">
        <v>703</v>
      </c>
      <c r="M27" s="650"/>
    </row>
    <row r="28" spans="1:16" ht="25.75" customHeight="1">
      <c r="A28" s="651" t="s">
        <v>219</v>
      </c>
      <c r="B28" s="638"/>
      <c r="C28" s="652">
        <v>10000</v>
      </c>
      <c r="D28" s="653"/>
      <c r="E28" s="653"/>
      <c r="F28" s="654">
        <v>1</v>
      </c>
      <c r="G28" s="636"/>
      <c r="H28" s="651" t="s">
        <v>219</v>
      </c>
      <c r="I28" s="638"/>
      <c r="J28" s="652">
        <v>10000</v>
      </c>
      <c r="K28" s="654">
        <v>1</v>
      </c>
      <c r="L28" s="655" t="s">
        <v>700</v>
      </c>
      <c r="M28" s="656"/>
    </row>
    <row r="29" spans="1:16" ht="40" thickBot="1">
      <c r="A29" s="688" t="s">
        <v>704</v>
      </c>
      <c r="B29" s="707"/>
      <c r="C29" s="708">
        <v>109997</v>
      </c>
      <c r="D29" s="709"/>
      <c r="E29" s="709"/>
      <c r="F29" s="710">
        <v>1</v>
      </c>
      <c r="G29" s="711"/>
      <c r="H29" s="688" t="s">
        <v>705</v>
      </c>
      <c r="I29" s="707"/>
      <c r="J29" s="708">
        <v>109997</v>
      </c>
      <c r="K29" s="709" t="s">
        <v>706</v>
      </c>
      <c r="L29" s="712"/>
      <c r="M29" s="713"/>
    </row>
    <row r="30" spans="1:16" ht="6.5" customHeight="1"/>
    <row r="31" spans="1:16">
      <c r="A31" s="657" t="s">
        <v>707</v>
      </c>
    </row>
    <row r="32" spans="1:16" ht="15" thickBot="1">
      <c r="A32" s="657" t="s">
        <v>708</v>
      </c>
      <c r="I32" s="658" t="s">
        <v>709</v>
      </c>
    </row>
    <row r="33" spans="1:13">
      <c r="A33" s="658" t="s">
        <v>710</v>
      </c>
      <c r="B33" s="583">
        <f>90797</f>
        <v>90797</v>
      </c>
      <c r="C33" s="659" t="s">
        <v>711</v>
      </c>
      <c r="D33" s="660">
        <v>90797</v>
      </c>
      <c r="E33" s="660"/>
      <c r="F33" s="661"/>
    </row>
    <row r="34" spans="1:13" ht="15" thickBot="1">
      <c r="B34" s="583">
        <v>9200</v>
      </c>
      <c r="C34" s="662" t="s">
        <v>253</v>
      </c>
      <c r="D34" s="663">
        <v>9200</v>
      </c>
      <c r="E34" s="663"/>
      <c r="F34" s="664"/>
      <c r="I34" s="658" t="s">
        <v>712</v>
      </c>
      <c r="M34" s="658" t="s">
        <v>534</v>
      </c>
    </row>
    <row r="35" spans="1:13">
      <c r="B35" s="583">
        <f>SUM(B33:B34)</f>
        <v>99997</v>
      </c>
      <c r="C35" s="665" t="s">
        <v>713</v>
      </c>
      <c r="D35" s="665"/>
      <c r="E35" s="665"/>
      <c r="F35" s="665"/>
      <c r="G35" s="665"/>
      <c r="H35" s="665"/>
      <c r="I35" s="665"/>
      <c r="J35" s="665"/>
      <c r="K35" s="665"/>
      <c r="L35" s="665"/>
      <c r="M35" s="665"/>
    </row>
    <row r="36" spans="1:13">
      <c r="A36" s="666" t="s">
        <v>714</v>
      </c>
      <c r="C36" s="583" t="s">
        <v>715</v>
      </c>
    </row>
    <row r="37" spans="1:13">
      <c r="A37" s="667"/>
      <c r="B37" s="672">
        <f>+C29-B35</f>
        <v>10000</v>
      </c>
    </row>
    <row r="38" spans="1:13" ht="20">
      <c r="A38" s="668"/>
    </row>
  </sheetData>
  <mergeCells count="10">
    <mergeCell ref="A24:F24"/>
    <mergeCell ref="H24:K24"/>
    <mergeCell ref="L25:M25"/>
    <mergeCell ref="A2:M2"/>
    <mergeCell ref="A3:K3"/>
    <mergeCell ref="A4:F4"/>
    <mergeCell ref="H4:K4"/>
    <mergeCell ref="L6:M6"/>
    <mergeCell ref="A22:F22"/>
    <mergeCell ref="H22:K22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6"/>
  <sheetViews>
    <sheetView showGridLines="0" zoomScale="90" zoomScaleNormal="90" workbookViewId="0">
      <pane ySplit="7" topLeftCell="A38" activePane="bottomLeft" state="frozen"/>
      <selection pane="bottomLeft" activeCell="F23" sqref="F23"/>
    </sheetView>
  </sheetViews>
  <sheetFormatPr baseColWidth="10" defaultRowHeight="15.5" outlineLevelCol="1"/>
  <cols>
    <col min="1" max="1" width="6.33203125" customWidth="1"/>
    <col min="2" max="2" width="6.6640625" style="249" customWidth="1"/>
    <col min="3" max="3" width="34.25" style="247" customWidth="1"/>
    <col min="4" max="4" width="10.9140625" style="248" customWidth="1"/>
    <col min="5" max="5" width="9.75" style="248" customWidth="1"/>
    <col min="6" max="7" width="9.5" style="249" customWidth="1"/>
    <col min="8" max="8" width="12.6640625" customWidth="1"/>
    <col min="9" max="9" width="6.33203125" customWidth="1"/>
    <col min="10" max="10" width="6.6640625" style="249" customWidth="1"/>
    <col min="11" max="11" width="28.1640625" style="247" customWidth="1"/>
    <col min="12" max="12" width="10.9140625" style="248" customWidth="1"/>
    <col min="13" max="13" width="12" style="248" customWidth="1" outlineLevel="1"/>
    <col min="14" max="14" width="12.25" style="249" customWidth="1"/>
  </cols>
  <sheetData>
    <row r="1" spans="1:15" s="254" customFormat="1" ht="23.5">
      <c r="A1" s="1435" t="s">
        <v>851</v>
      </c>
      <c r="B1" s="1435"/>
      <c r="C1" s="1435"/>
      <c r="D1" s="1435"/>
      <c r="E1" s="1435"/>
      <c r="F1" s="1435"/>
      <c r="G1" s="1286"/>
      <c r="H1" s="363"/>
      <c r="I1" s="1435" t="s">
        <v>770</v>
      </c>
      <c r="J1" s="1435"/>
      <c r="K1" s="1435"/>
      <c r="L1" s="1435"/>
      <c r="M1" s="1435"/>
      <c r="N1" s="1435"/>
    </row>
    <row r="2" spans="1:15" s="446" customFormat="1" ht="23.5">
      <c r="A2" s="445"/>
      <c r="B2" s="445"/>
      <c r="C2" s="445"/>
      <c r="D2" s="445"/>
      <c r="E2" s="445"/>
      <c r="F2" s="445"/>
      <c r="G2" s="445"/>
      <c r="I2" s="445"/>
      <c r="J2" s="445"/>
      <c r="K2" s="445"/>
      <c r="L2" s="445"/>
      <c r="M2" s="445"/>
      <c r="N2" s="445"/>
    </row>
    <row r="3" spans="1:15">
      <c r="A3" s="60" t="s">
        <v>169</v>
      </c>
      <c r="B3" t="s">
        <v>170</v>
      </c>
      <c r="I3" s="60" t="s">
        <v>169</v>
      </c>
      <c r="J3" t="s">
        <v>852</v>
      </c>
    </row>
    <row r="4" spans="1:15">
      <c r="A4" s="60" t="s">
        <v>174</v>
      </c>
      <c r="B4" s="102">
        <v>2024</v>
      </c>
      <c r="I4" s="60" t="s">
        <v>174</v>
      </c>
      <c r="J4" s="102">
        <v>2024</v>
      </c>
    </row>
    <row r="5" spans="1:15" ht="8.5" customHeight="1"/>
    <row r="6" spans="1:15">
      <c r="A6" s="60" t="s">
        <v>316</v>
      </c>
      <c r="B6"/>
      <c r="C6"/>
      <c r="D6" s="60" t="s">
        <v>406</v>
      </c>
      <c r="F6" s="248"/>
      <c r="G6" s="248"/>
      <c r="I6" s="60" t="s">
        <v>316</v>
      </c>
      <c r="J6"/>
      <c r="K6"/>
      <c r="L6" s="60" t="s">
        <v>406</v>
      </c>
      <c r="N6" s="248"/>
      <c r="O6" s="248"/>
    </row>
    <row r="7" spans="1:15" s="257" customFormat="1" ht="24">
      <c r="A7" s="255" t="s">
        <v>164</v>
      </c>
      <c r="B7" s="255" t="s">
        <v>226</v>
      </c>
      <c r="C7" s="255" t="s">
        <v>407</v>
      </c>
      <c r="D7" s="257" t="s">
        <v>404</v>
      </c>
      <c r="E7" s="257" t="s">
        <v>433</v>
      </c>
      <c r="F7" s="257" t="s">
        <v>997</v>
      </c>
      <c r="G7" s="256" t="s">
        <v>165</v>
      </c>
      <c r="H7" s="1221" t="s">
        <v>923</v>
      </c>
      <c r="I7" s="255" t="s">
        <v>164</v>
      </c>
      <c r="J7" s="255" t="s">
        <v>226</v>
      </c>
      <c r="K7" s="255" t="s">
        <v>407</v>
      </c>
      <c r="L7" s="257" t="s">
        <v>404</v>
      </c>
      <c r="M7" s="257" t="s">
        <v>433</v>
      </c>
      <c r="N7" t="s">
        <v>761</v>
      </c>
      <c r="O7" s="256" t="s">
        <v>165</v>
      </c>
    </row>
    <row r="8" spans="1:15" s="238" customFormat="1">
      <c r="A8" s="238" t="s">
        <v>158</v>
      </c>
      <c r="B8" s="238">
        <v>7410</v>
      </c>
      <c r="C8" t="s">
        <v>577</v>
      </c>
      <c r="D8" s="249"/>
      <c r="E8" s="249">
        <v>15000</v>
      </c>
      <c r="F8" s="249"/>
      <c r="G8" s="249">
        <v>15000</v>
      </c>
      <c r="H8" s="1222"/>
      <c r="I8" s="238" t="s">
        <v>158</v>
      </c>
      <c r="J8" s="238">
        <v>7410</v>
      </c>
      <c r="K8" t="s">
        <v>577</v>
      </c>
      <c r="L8" s="249"/>
      <c r="M8" s="249">
        <v>15000</v>
      </c>
      <c r="N8" s="249"/>
      <c r="O8" s="249">
        <v>15000</v>
      </c>
    </row>
    <row r="9" spans="1:15" s="238" customFormat="1">
      <c r="B9">
        <v>7420</v>
      </c>
      <c r="C9" t="s">
        <v>578</v>
      </c>
      <c r="D9" s="249"/>
      <c r="E9" s="249">
        <v>3333</v>
      </c>
      <c r="F9" s="249"/>
      <c r="G9" s="249">
        <v>3333</v>
      </c>
      <c r="H9" s="1222"/>
      <c r="J9">
        <v>7420</v>
      </c>
      <c r="K9" t="s">
        <v>578</v>
      </c>
      <c r="L9" s="249"/>
      <c r="M9" s="249">
        <v>3333</v>
      </c>
      <c r="N9" s="249"/>
      <c r="O9" s="249">
        <v>3333</v>
      </c>
    </row>
    <row r="10" spans="1:15" s="238" customFormat="1">
      <c r="B10">
        <v>7440</v>
      </c>
      <c r="C10" t="s">
        <v>762</v>
      </c>
      <c r="D10" s="249"/>
      <c r="E10" s="249"/>
      <c r="F10" s="249">
        <v>27000</v>
      </c>
      <c r="G10" s="249">
        <v>27000</v>
      </c>
      <c r="H10" s="1222">
        <v>16344.199999999997</v>
      </c>
      <c r="J10">
        <v>7430</v>
      </c>
      <c r="K10" t="s">
        <v>579</v>
      </c>
      <c r="L10" s="249"/>
      <c r="M10" s="249">
        <v>16344.199999999997</v>
      </c>
      <c r="N10" s="249">
        <v>18530.25</v>
      </c>
      <c r="O10" s="249">
        <v>34874.449999999997</v>
      </c>
    </row>
    <row r="11" spans="1:15" s="238" customFormat="1">
      <c r="B11" s="238">
        <v>7581</v>
      </c>
      <c r="C11" t="s">
        <v>277</v>
      </c>
      <c r="D11" s="249">
        <v>1410</v>
      </c>
      <c r="E11" s="249"/>
      <c r="F11" s="249"/>
      <c r="G11" s="249">
        <v>1410</v>
      </c>
      <c r="H11" s="1223"/>
      <c r="J11">
        <v>7440</v>
      </c>
      <c r="K11" t="s">
        <v>762</v>
      </c>
      <c r="L11" s="249"/>
      <c r="M11" s="249"/>
      <c r="N11" s="249">
        <v>10000</v>
      </c>
      <c r="O11" s="249">
        <v>10000</v>
      </c>
    </row>
    <row r="12" spans="1:15" s="238" customFormat="1">
      <c r="B12">
        <v>7588</v>
      </c>
      <c r="C12" t="s">
        <v>60</v>
      </c>
      <c r="D12" s="249">
        <v>-5444.26</v>
      </c>
      <c r="E12" s="249">
        <v>5444.6</v>
      </c>
      <c r="F12" s="249"/>
      <c r="G12" s="249">
        <v>0.34000000000014552</v>
      </c>
      <c r="H12" s="1224"/>
      <c r="J12">
        <v>7450</v>
      </c>
      <c r="K12" t="s">
        <v>763</v>
      </c>
      <c r="L12" s="249"/>
      <c r="M12" s="249"/>
      <c r="N12" s="249">
        <v>3750</v>
      </c>
      <c r="O12" s="249">
        <v>3750</v>
      </c>
    </row>
    <row r="13" spans="1:15" s="238" customFormat="1">
      <c r="B13">
        <v>7660</v>
      </c>
      <c r="C13" t="s">
        <v>61</v>
      </c>
      <c r="D13" s="249">
        <v>0.47</v>
      </c>
      <c r="E13" s="249"/>
      <c r="F13" s="249"/>
      <c r="G13" s="249">
        <v>0.47</v>
      </c>
      <c r="H13" s="1222">
        <f>SUM(H8:H12)</f>
        <v>16344.199999999997</v>
      </c>
      <c r="J13" s="238">
        <v>7480</v>
      </c>
      <c r="K13" t="s">
        <v>880</v>
      </c>
      <c r="L13" s="249"/>
      <c r="M13" s="249"/>
      <c r="N13" s="249">
        <v>875</v>
      </c>
      <c r="O13" s="249">
        <v>875</v>
      </c>
    </row>
    <row r="14" spans="1:15" s="238" customFormat="1">
      <c r="B14">
        <v>7770</v>
      </c>
      <c r="C14" t="s">
        <v>65</v>
      </c>
      <c r="D14" s="249">
        <v>65</v>
      </c>
      <c r="E14" s="249"/>
      <c r="F14" s="249"/>
      <c r="G14" s="249">
        <v>65</v>
      </c>
      <c r="J14" s="238">
        <v>7581</v>
      </c>
      <c r="K14" t="s">
        <v>277</v>
      </c>
      <c r="L14" s="249">
        <v>1500</v>
      </c>
      <c r="M14" s="249"/>
      <c r="N14" s="249"/>
      <c r="O14" s="249">
        <v>1500</v>
      </c>
    </row>
    <row r="15" spans="1:15" s="238" customFormat="1">
      <c r="B15" s="238">
        <v>7771</v>
      </c>
      <c r="C15" t="s">
        <v>281</v>
      </c>
      <c r="D15" s="249">
        <v>2925</v>
      </c>
      <c r="E15" s="249"/>
      <c r="F15" s="249"/>
      <c r="G15" s="249">
        <v>2925</v>
      </c>
      <c r="J15">
        <v>7660</v>
      </c>
      <c r="K15" t="s">
        <v>61</v>
      </c>
      <c r="L15" s="249">
        <v>0.34</v>
      </c>
      <c r="M15" s="249"/>
      <c r="N15" s="249"/>
      <c r="O15" s="249">
        <v>0.34</v>
      </c>
    </row>
    <row r="16" spans="1:15" s="238" customFormat="1">
      <c r="A16" s="253" t="s">
        <v>402</v>
      </c>
      <c r="B16" s="253"/>
      <c r="C16" s="253"/>
      <c r="D16" s="251">
        <v>-1043.7900000000004</v>
      </c>
      <c r="E16" s="251">
        <v>23777.599999999999</v>
      </c>
      <c r="F16" s="251">
        <v>27000</v>
      </c>
      <c r="G16" s="251">
        <v>49733.81</v>
      </c>
      <c r="J16">
        <v>7770</v>
      </c>
      <c r="K16" t="s">
        <v>65</v>
      </c>
      <c r="L16" s="249">
        <v>1200</v>
      </c>
      <c r="M16" s="249">
        <v>0</v>
      </c>
      <c r="N16" s="249">
        <v>0</v>
      </c>
      <c r="O16" s="249">
        <v>1200</v>
      </c>
    </row>
    <row r="17" spans="1:15" s="238" customFormat="1">
      <c r="A17" s="238" t="s">
        <v>157</v>
      </c>
      <c r="B17">
        <v>6068</v>
      </c>
      <c r="C17" t="s">
        <v>36</v>
      </c>
      <c r="D17" s="249"/>
      <c r="E17" s="249">
        <v>-38.880000000000003</v>
      </c>
      <c r="F17" s="249"/>
      <c r="G17" s="249">
        <v>-38.880000000000003</v>
      </c>
      <c r="J17" s="238">
        <v>7771</v>
      </c>
      <c r="K17" t="s">
        <v>281</v>
      </c>
      <c r="L17" s="249">
        <v>3729.7799999999997</v>
      </c>
      <c r="M17" s="249"/>
      <c r="N17" s="249"/>
      <c r="O17" s="249">
        <v>3729.7799999999997</v>
      </c>
    </row>
    <row r="18" spans="1:15" s="238" customFormat="1">
      <c r="B18" s="238">
        <v>6110</v>
      </c>
      <c r="C18" t="s">
        <v>396</v>
      </c>
      <c r="D18" s="249">
        <v>-416.01</v>
      </c>
      <c r="E18" s="249">
        <v>-30082</v>
      </c>
      <c r="F18" s="249"/>
      <c r="G18" s="249">
        <v>-30498.01</v>
      </c>
      <c r="J18">
        <v>7772</v>
      </c>
      <c r="K18" t="s">
        <v>69</v>
      </c>
      <c r="L18" s="249">
        <v>0</v>
      </c>
      <c r="M18" s="249"/>
      <c r="N18" s="249"/>
      <c r="O18" s="249">
        <v>0</v>
      </c>
    </row>
    <row r="19" spans="1:15" s="238" customFormat="1">
      <c r="B19" s="238">
        <v>6160</v>
      </c>
      <c r="C19" t="s">
        <v>279</v>
      </c>
      <c r="D19" s="249">
        <v>116.1</v>
      </c>
      <c r="E19" s="249"/>
      <c r="F19" s="249"/>
      <c r="G19" s="249">
        <v>116.1</v>
      </c>
      <c r="J19">
        <v>8710</v>
      </c>
      <c r="K19" t="s">
        <v>146</v>
      </c>
      <c r="L19" s="249"/>
      <c r="M19" s="249"/>
      <c r="N19" s="249">
        <v>1087.5</v>
      </c>
      <c r="O19" s="249">
        <v>1087.5</v>
      </c>
    </row>
    <row r="20" spans="1:15" s="238" customFormat="1">
      <c r="B20" s="238">
        <v>6230</v>
      </c>
      <c r="C20" t="s">
        <v>409</v>
      </c>
      <c r="D20" s="249">
        <v>-30</v>
      </c>
      <c r="E20" s="249">
        <v>-1110.1099999999999</v>
      </c>
      <c r="F20" s="249"/>
      <c r="G20" s="249">
        <v>-1140.1099999999999</v>
      </c>
      <c r="I20" s="253" t="s">
        <v>402</v>
      </c>
      <c r="J20" s="253"/>
      <c r="K20" s="253"/>
      <c r="L20" s="251">
        <v>6430.12</v>
      </c>
      <c r="M20" s="251">
        <v>34677.199999999997</v>
      </c>
      <c r="N20" s="251">
        <v>34242.75</v>
      </c>
      <c r="O20" s="251">
        <v>75350.069999999992</v>
      </c>
    </row>
    <row r="21" spans="1:15" s="238" customFormat="1">
      <c r="B21">
        <v>6250</v>
      </c>
      <c r="C21" t="s">
        <v>313</v>
      </c>
      <c r="D21" s="249"/>
      <c r="E21" s="249">
        <v>-5385.37</v>
      </c>
      <c r="F21" s="249"/>
      <c r="G21" s="249">
        <v>-5385.37</v>
      </c>
      <c r="I21" s="238" t="s">
        <v>157</v>
      </c>
      <c r="J21" s="238">
        <v>6040</v>
      </c>
      <c r="K21" t="s">
        <v>284</v>
      </c>
      <c r="L21" s="249">
        <v>-1200</v>
      </c>
      <c r="M21" s="249"/>
      <c r="N21" s="249"/>
      <c r="O21" s="249">
        <v>-1200</v>
      </c>
    </row>
    <row r="22" spans="1:15" s="238" customFormat="1">
      <c r="B22" s="238">
        <v>6256</v>
      </c>
      <c r="C22" t="s">
        <v>282</v>
      </c>
      <c r="D22" s="249">
        <v>-300</v>
      </c>
      <c r="E22" s="249"/>
      <c r="F22" s="249"/>
      <c r="G22" s="249">
        <v>-300</v>
      </c>
      <c r="J22" s="238">
        <v>6064</v>
      </c>
      <c r="K22" t="s">
        <v>278</v>
      </c>
      <c r="L22" s="249">
        <v>-73.09</v>
      </c>
      <c r="M22" s="249"/>
      <c r="N22" s="249"/>
      <c r="O22" s="249">
        <v>-73.09</v>
      </c>
    </row>
    <row r="23" spans="1:15" s="238" customFormat="1" ht="16.5" customHeight="1">
      <c r="B23" s="238">
        <v>6261</v>
      </c>
      <c r="C23" t="s">
        <v>280</v>
      </c>
      <c r="D23" s="249">
        <v>-59.9</v>
      </c>
      <c r="E23" s="249">
        <v>-139.26</v>
      </c>
      <c r="F23" s="249">
        <v>-26.76</v>
      </c>
      <c r="G23" s="249">
        <v>-225.92</v>
      </c>
      <c r="J23" s="238">
        <v>6110</v>
      </c>
      <c r="K23" t="s">
        <v>396</v>
      </c>
      <c r="L23" s="249"/>
      <c r="M23" s="249">
        <v>-28576</v>
      </c>
      <c r="N23" s="249">
        <v>-30449</v>
      </c>
      <c r="O23" s="249">
        <v>-59025</v>
      </c>
    </row>
    <row r="24" spans="1:15" s="238" customFormat="1" ht="16" thickBot="1">
      <c r="B24" s="238">
        <v>6270</v>
      </c>
      <c r="C24" t="s">
        <v>283</v>
      </c>
      <c r="D24" s="249">
        <v>3.120000000000001</v>
      </c>
      <c r="E24" s="249">
        <v>-60.75</v>
      </c>
      <c r="F24" s="249"/>
      <c r="G24" s="249">
        <v>-57.629999999999995</v>
      </c>
      <c r="J24" s="238">
        <v>6160</v>
      </c>
      <c r="K24" t="s">
        <v>279</v>
      </c>
      <c r="L24" s="249">
        <v>-116.1</v>
      </c>
      <c r="M24" s="249"/>
      <c r="N24" s="249"/>
      <c r="O24" s="249">
        <v>-116.1</v>
      </c>
    </row>
    <row r="25" spans="1:15" s="238" customFormat="1" ht="16" thickBot="1">
      <c r="A25" s="253" t="s">
        <v>403</v>
      </c>
      <c r="B25" s="253"/>
      <c r="C25" s="253"/>
      <c r="D25" s="251">
        <v>-686.68999999999994</v>
      </c>
      <c r="E25" s="251">
        <v>-36816.370000000003</v>
      </c>
      <c r="F25" s="251">
        <v>-26.76</v>
      </c>
      <c r="G25" s="251">
        <v>-37529.82</v>
      </c>
      <c r="J25">
        <v>6228</v>
      </c>
      <c r="K25" t="s">
        <v>432</v>
      </c>
      <c r="L25" s="249"/>
      <c r="M25" s="249"/>
      <c r="N25" s="249">
        <v>-1512.5</v>
      </c>
      <c r="O25" s="249">
        <v>-1512.5</v>
      </c>
    </row>
    <row r="26" spans="1:15" s="238" customFormat="1" ht="16" thickBot="1">
      <c r="A26" s="1409" t="s">
        <v>165</v>
      </c>
      <c r="B26" s="1410"/>
      <c r="C26" s="1415"/>
      <c r="D26" s="1414">
        <v>-1730.4800000000007</v>
      </c>
      <c r="E26" s="1411">
        <v>-13038.770000000002</v>
      </c>
      <c r="F26" s="1411">
        <v>26973.24</v>
      </c>
      <c r="G26" s="1412">
        <v>12203.990000000002</v>
      </c>
      <c r="H26" s="1233"/>
      <c r="J26" s="238">
        <v>6230</v>
      </c>
      <c r="K26" t="s">
        <v>409</v>
      </c>
      <c r="L26" s="249">
        <v>-141.65599999999998</v>
      </c>
      <c r="M26" s="249">
        <v>-1333.626</v>
      </c>
      <c r="N26" s="249">
        <v>-450</v>
      </c>
      <c r="O26" s="249">
        <v>-1925.2819999999999</v>
      </c>
    </row>
    <row r="27" spans="1:15" s="419" customFormat="1">
      <c r="A27" s="1327"/>
      <c r="B27" s="1328"/>
      <c r="C27" s="1328"/>
      <c r="D27" s="1335"/>
      <c r="E27" s="1335"/>
      <c r="F27" s="1335"/>
      <c r="G27" s="1336"/>
      <c r="H27" s="1233"/>
      <c r="I27" s="238"/>
      <c r="J27">
        <v>6250</v>
      </c>
      <c r="K27" t="s">
        <v>313</v>
      </c>
      <c r="L27" s="249"/>
      <c r="M27" s="249">
        <v>-5583.14</v>
      </c>
      <c r="N27" s="249">
        <v>-1625</v>
      </c>
      <c r="O27" s="249">
        <v>-7208.14</v>
      </c>
    </row>
    <row r="28" spans="1:15">
      <c r="A28" s="793" t="s">
        <v>984</v>
      </c>
      <c r="B28" s="490"/>
      <c r="C28" s="490"/>
      <c r="D28" s="1383"/>
      <c r="E28" s="1335"/>
      <c r="F28" s="1335">
        <f>-GETPIVOTDATA("COMPTA",$A$6,"LIB Projet","PROJET FORAGES")</f>
        <v>-26973.24</v>
      </c>
      <c r="G28" s="1384">
        <f>SUM(D28:F28)</f>
        <v>-26973.24</v>
      </c>
      <c r="H28" s="1233"/>
      <c r="I28" s="238"/>
      <c r="J28" s="238">
        <v>6256</v>
      </c>
      <c r="K28" t="s">
        <v>282</v>
      </c>
      <c r="L28" s="249">
        <v>0</v>
      </c>
      <c r="M28" s="249"/>
      <c r="O28" s="249">
        <v>0</v>
      </c>
    </row>
    <row r="29" spans="1:15" s="246" customFormat="1">
      <c r="A29" s="793" t="s">
        <v>983</v>
      </c>
      <c r="B29" s="794"/>
      <c r="C29" s="250"/>
      <c r="D29" s="1317"/>
      <c r="E29" s="1385">
        <f>RAPPRO!C122</f>
        <v>16344</v>
      </c>
      <c r="F29" s="1386"/>
      <c r="G29" s="1384">
        <f>SUM(D29:F29)</f>
        <v>16344</v>
      </c>
      <c r="H29" s="1221"/>
      <c r="I29" s="238"/>
      <c r="J29" s="238">
        <v>6261</v>
      </c>
      <c r="K29" t="s">
        <v>280</v>
      </c>
      <c r="L29" s="249">
        <v>-13.92</v>
      </c>
      <c r="M29" s="249">
        <v>-1379.2</v>
      </c>
      <c r="N29" s="249"/>
      <c r="O29" s="249">
        <v>-1393.1200000000001</v>
      </c>
    </row>
    <row r="30" spans="1:15" ht="15.5" customHeight="1">
      <c r="A30" s="793"/>
      <c r="B30" s="794"/>
      <c r="C30" s="250"/>
      <c r="D30" s="1317"/>
      <c r="E30" s="1317"/>
      <c r="F30" s="1317"/>
      <c r="G30" s="1337"/>
      <c r="H30" s="1222"/>
      <c r="I30" s="238"/>
      <c r="J30" s="238">
        <v>6281</v>
      </c>
      <c r="K30" t="s">
        <v>340</v>
      </c>
      <c r="L30" s="249">
        <v>-50</v>
      </c>
      <c r="M30" s="249"/>
      <c r="O30" s="249">
        <v>-50</v>
      </c>
    </row>
    <row r="31" spans="1:15" s="246" customFormat="1" ht="16" customHeight="1" thickBot="1">
      <c r="A31" s="1330" t="s">
        <v>989</v>
      </c>
      <c r="B31" s="1331"/>
      <c r="C31" s="1331"/>
      <c r="D31" s="1338">
        <f>SUM(D26:D30)</f>
        <v>-1730.4800000000007</v>
      </c>
      <c r="E31" s="1338">
        <f t="shared" ref="E31:G31" si="0">SUM(E26:E30)</f>
        <v>3305.2299999999977</v>
      </c>
      <c r="F31" s="1338">
        <f t="shared" si="0"/>
        <v>0</v>
      </c>
      <c r="G31" s="1338">
        <f t="shared" si="0"/>
        <v>1574.75</v>
      </c>
      <c r="H31" s="1222"/>
      <c r="I31" s="238"/>
      <c r="J31">
        <v>8620</v>
      </c>
      <c r="K31" t="s">
        <v>145</v>
      </c>
      <c r="L31" s="249"/>
      <c r="M31" s="249"/>
      <c r="N31" s="249">
        <v>-1087.5</v>
      </c>
      <c r="O31" s="249">
        <v>-1087.5</v>
      </c>
    </row>
    <row r="32" spans="1:15" s="246" customFormat="1" ht="16" customHeight="1" thickBot="1">
      <c r="A32" s="1323"/>
      <c r="B32" s="794"/>
      <c r="C32" s="794"/>
      <c r="D32" s="909"/>
      <c r="E32" s="909"/>
      <c r="F32" s="909"/>
      <c r="G32" s="909"/>
      <c r="H32" s="1222"/>
      <c r="I32" s="253" t="s">
        <v>403</v>
      </c>
      <c r="J32" s="253"/>
      <c r="K32" s="253"/>
      <c r="L32" s="251">
        <v>-1594.7659999999998</v>
      </c>
      <c r="M32" s="251">
        <v>-36871.966</v>
      </c>
      <c r="N32" s="251">
        <v>-35124</v>
      </c>
      <c r="O32" s="251">
        <v>-73590.731999999989</v>
      </c>
    </row>
    <row r="33" spans="1:15" s="246" customFormat="1">
      <c r="A33" s="481" t="s">
        <v>573</v>
      </c>
      <c r="B33" s="482"/>
      <c r="C33" s="482"/>
      <c r="D33" s="1333">
        <v>4389.6440000000002</v>
      </c>
      <c r="E33" s="1333">
        <v>-3305.2339999999967</v>
      </c>
      <c r="F33" s="1333"/>
      <c r="G33" s="1334">
        <f>SUM(D33:F33)</f>
        <v>1084.4100000000035</v>
      </c>
      <c r="H33" s="1222"/>
      <c r="I33" s="972" t="s">
        <v>165</v>
      </c>
      <c r="J33" s="972"/>
      <c r="K33" s="972"/>
      <c r="L33" s="973">
        <v>4835.3539999999994</v>
      </c>
      <c r="M33" s="973">
        <v>-2194.7660000000033</v>
      </c>
      <c r="N33" s="973">
        <v>-881.25</v>
      </c>
      <c r="O33" s="973">
        <v>1759.3379999999961</v>
      </c>
    </row>
    <row r="34" spans="1:15">
      <c r="A34" s="1377" t="s">
        <v>853</v>
      </c>
      <c r="B34" s="1375"/>
      <c r="C34" s="1375"/>
      <c r="D34" s="1376">
        <f>+D31</f>
        <v>-1730.4800000000007</v>
      </c>
      <c r="E34" s="1376">
        <f>+E31</f>
        <v>3305.2299999999977</v>
      </c>
      <c r="F34" s="1376">
        <f>+F31</f>
        <v>0</v>
      </c>
      <c r="G34" s="1376">
        <f>SUM(D34:F34)</f>
        <v>1574.749999999997</v>
      </c>
      <c r="H34" s="1236"/>
      <c r="I34" s="238"/>
      <c r="J34" s="238"/>
      <c r="K34" s="238"/>
      <c r="L34" s="249"/>
      <c r="M34" s="249"/>
      <c r="O34" s="249"/>
    </row>
    <row r="35" spans="1:15" s="249" customFormat="1">
      <c r="A35" s="1323"/>
      <c r="B35" s="794"/>
      <c r="C35" s="1325"/>
      <c r="D35" s="1232"/>
      <c r="E35" s="1232"/>
      <c r="F35" s="1232"/>
      <c r="G35" s="1232"/>
      <c r="H35" s="1236"/>
      <c r="I35" s="238"/>
      <c r="J35" s="238"/>
      <c r="K35" s="238"/>
    </row>
    <row r="36" spans="1:15" s="249" customFormat="1" ht="16" thickBot="1">
      <c r="A36" s="437" t="s">
        <v>963</v>
      </c>
      <c r="B36" s="438"/>
      <c r="C36" s="438"/>
      <c r="D36" s="1387">
        <f>SUM(D33:D35)</f>
        <v>2659.1639999999998</v>
      </c>
      <c r="E36" s="1387">
        <f>SUM(E33:E35)</f>
        <v>-3.9999999989959178E-3</v>
      </c>
      <c r="F36" s="1387">
        <f>SUM(F33:F35)</f>
        <v>0</v>
      </c>
      <c r="G36" s="1387">
        <f>SUM(G33:G35)</f>
        <v>2659.1600000000008</v>
      </c>
      <c r="H36" s="1225"/>
      <c r="I36" s="238"/>
      <c r="J36" s="238"/>
      <c r="K36" s="238"/>
    </row>
    <row r="37" spans="1:15" s="249" customFormat="1">
      <c r="A37" s="1323"/>
      <c r="B37" s="794"/>
      <c r="C37" s="794"/>
      <c r="D37" s="1232"/>
      <c r="E37" s="1232"/>
      <c r="F37" s="1232"/>
      <c r="G37" s="1232"/>
      <c r="H37" s="1324"/>
      <c r="I37" s="238"/>
      <c r="J37" s="238"/>
      <c r="K37" s="238"/>
    </row>
    <row r="38" spans="1:15" s="249" customFormat="1">
      <c r="A38" s="489" t="s">
        <v>526</v>
      </c>
      <c r="B38" s="490"/>
      <c r="C38" s="490"/>
      <c r="D38" s="1388">
        <v>-15</v>
      </c>
      <c r="E38" s="1332"/>
      <c r="F38" s="1332"/>
      <c r="G38" s="492">
        <f>SUM(D38:F38)</f>
        <v>-15</v>
      </c>
      <c r="H38" s="1324"/>
      <c r="I38" s="238"/>
      <c r="J38" s="238"/>
      <c r="K38" s="238"/>
    </row>
    <row r="39" spans="1:15" s="249" customFormat="1">
      <c r="A39" s="1379" t="s">
        <v>987</v>
      </c>
      <c r="B39" s="490"/>
      <c r="C39" s="490"/>
      <c r="D39" s="1388"/>
      <c r="E39" s="1332">
        <f>-E29</f>
        <v>-16344</v>
      </c>
      <c r="F39" s="1332"/>
      <c r="G39" s="492">
        <f>SUM(D39:F39)</f>
        <v>-16344</v>
      </c>
      <c r="H39" s="1222"/>
      <c r="I39" s="238"/>
      <c r="J39" s="238"/>
      <c r="K39" s="238"/>
    </row>
    <row r="40" spans="1:15" s="249" customFormat="1" ht="16" thickBot="1">
      <c r="A40" s="1379" t="s">
        <v>985</v>
      </c>
      <c r="B40" s="490"/>
      <c r="C40" s="490"/>
      <c r="D40" s="1388"/>
      <c r="E40" s="1332"/>
      <c r="F40" s="1332"/>
      <c r="G40" s="492"/>
      <c r="H40" s="238"/>
      <c r="I40" s="238"/>
      <c r="J40" s="238"/>
      <c r="K40" s="238"/>
    </row>
    <row r="41" spans="1:15" s="249" customFormat="1">
      <c r="A41" s="489"/>
      <c r="B41" s="490"/>
      <c r="C41" s="489" t="s">
        <v>905</v>
      </c>
      <c r="D41" s="1388"/>
      <c r="E41" s="1332">
        <f>+RAPPRO!$A128</f>
        <v>5082</v>
      </c>
      <c r="F41" s="1332"/>
      <c r="G41" s="492">
        <f t="shared" ref="G41:G45" si="1">SUM(D41:F41)</f>
        <v>5082</v>
      </c>
      <c r="H41" s="419"/>
      <c r="I41" s="485" t="s">
        <v>526</v>
      </c>
      <c r="J41" s="486"/>
      <c r="K41" s="486"/>
      <c r="L41" s="487">
        <v>-15</v>
      </c>
      <c r="M41" s="487"/>
      <c r="N41" s="488"/>
      <c r="O41" s="488">
        <f>SUM(L41:N41)</f>
        <v>-15</v>
      </c>
    </row>
    <row r="42" spans="1:15" s="249" customFormat="1">
      <c r="A42" s="489"/>
      <c r="B42" s="490"/>
      <c r="C42" s="489" t="s">
        <v>906</v>
      </c>
      <c r="D42" s="1388"/>
      <c r="E42" s="1332">
        <f>+RAPPRO!A129</f>
        <v>6847.72</v>
      </c>
      <c r="F42" s="1332"/>
      <c r="G42" s="492">
        <f t="shared" si="1"/>
        <v>6847.72</v>
      </c>
      <c r="H42" s="419"/>
      <c r="I42" s="489" t="s">
        <v>573</v>
      </c>
      <c r="J42" s="490"/>
      <c r="K42" s="490"/>
      <c r="L42" s="491">
        <f>D33</f>
        <v>4389.6440000000002</v>
      </c>
      <c r="M42" s="491">
        <f t="shared" ref="M42:O42" si="2">E33</f>
        <v>-3305.2339999999967</v>
      </c>
      <c r="N42" s="491">
        <f t="shared" si="2"/>
        <v>0</v>
      </c>
      <c r="O42" s="491">
        <f t="shared" si="2"/>
        <v>1084.4100000000035</v>
      </c>
    </row>
    <row r="43" spans="1:15" s="249" customFormat="1" ht="16" thickBot="1">
      <c r="A43" s="489"/>
      <c r="B43" s="490"/>
      <c r="C43" s="489" t="s">
        <v>907</v>
      </c>
      <c r="D43" s="1388"/>
      <c r="E43" s="1332">
        <f>+RAPPRO!A130</f>
        <v>0</v>
      </c>
      <c r="F43" s="1332"/>
      <c r="G43" s="492">
        <f t="shared" si="1"/>
        <v>0</v>
      </c>
      <c r="H43"/>
      <c r="I43" s="437" t="s">
        <v>913</v>
      </c>
      <c r="J43" s="438"/>
      <c r="K43" s="438"/>
      <c r="L43" s="439">
        <f>L33+SUM(L41:L42)</f>
        <v>9209.9979999999996</v>
      </c>
      <c r="M43" s="439">
        <f>M33+SUM(M41:M42)</f>
        <v>-5500</v>
      </c>
      <c r="N43" s="439">
        <f>N33+SUM(N41:N42)</f>
        <v>-881.25</v>
      </c>
      <c r="O43" s="439">
        <f>O33+SUM(O41:O42)</f>
        <v>2828.7479999999996</v>
      </c>
    </row>
    <row r="44" spans="1:15" s="249" customFormat="1">
      <c r="A44" s="489"/>
      <c r="B44" s="490"/>
      <c r="C44" s="489" t="s">
        <v>908</v>
      </c>
      <c r="D44" s="1388"/>
      <c r="E44" s="1332">
        <f>+RAPPRO!A131</f>
        <v>3169.39</v>
      </c>
      <c r="F44" s="1332"/>
      <c r="G44" s="492">
        <f t="shared" si="1"/>
        <v>3169.39</v>
      </c>
      <c r="H44"/>
      <c r="I44"/>
      <c r="J44"/>
      <c r="K44"/>
      <c r="L44"/>
      <c r="M44"/>
      <c r="N44"/>
      <c r="O44"/>
    </row>
    <row r="45" spans="1:15" s="249" customFormat="1">
      <c r="A45" s="1379" t="s">
        <v>986</v>
      </c>
      <c r="B45" s="490"/>
      <c r="C45" s="490"/>
      <c r="D45" s="1388"/>
      <c r="E45" s="1332"/>
      <c r="F45" s="1332">
        <f>-F28</f>
        <v>26973.24</v>
      </c>
      <c r="G45" s="492">
        <f t="shared" si="1"/>
        <v>26973.24</v>
      </c>
      <c r="H45"/>
      <c r="I45"/>
    </row>
    <row r="46" spans="1:15" s="249" customFormat="1">
      <c r="A46" s="1378"/>
      <c r="B46" s="490"/>
      <c r="C46" s="490"/>
      <c r="D46" s="1388"/>
      <c r="E46" s="1332"/>
      <c r="F46" s="1332"/>
      <c r="G46" s="492"/>
      <c r="H46"/>
      <c r="I46"/>
    </row>
    <row r="47" spans="1:15" s="249" customFormat="1" ht="16" thickBot="1">
      <c r="A47" s="437" t="s">
        <v>972</v>
      </c>
      <c r="B47" s="438"/>
      <c r="C47" s="438"/>
      <c r="D47" s="1380">
        <f>D36+SUM(D38:D45)</f>
        <v>2644.1639999999998</v>
      </c>
      <c r="E47" s="1381">
        <f>E36+SUM(E38:E45)</f>
        <v>-1244.8939999999989</v>
      </c>
      <c r="F47" s="1381">
        <f>F36+SUM(F38:F45)</f>
        <v>26973.24</v>
      </c>
      <c r="G47" s="1382">
        <f>G36+SUM(G38:G45)</f>
        <v>28372.510000000002</v>
      </c>
      <c r="H47"/>
      <c r="I47"/>
    </row>
    <row r="48" spans="1:15">
      <c r="B48"/>
      <c r="C48"/>
      <c r="D48"/>
      <c r="E48"/>
      <c r="F48"/>
      <c r="G48"/>
      <c r="K48" s="249"/>
      <c r="L48" s="249"/>
      <c r="M48" s="249"/>
      <c r="O48" s="249"/>
    </row>
    <row r="49" spans="1:15">
      <c r="A49" s="1231"/>
      <c r="B49"/>
      <c r="C49"/>
      <c r="D49"/>
      <c r="E49"/>
      <c r="F49"/>
      <c r="G49"/>
      <c r="K49" s="249"/>
      <c r="L49" s="249"/>
      <c r="M49" s="249"/>
      <c r="O49" s="249"/>
    </row>
    <row r="50" spans="1:15">
      <c r="C50" s="249"/>
      <c r="D50" s="249"/>
      <c r="E50" s="730">
        <v>20.25</v>
      </c>
      <c r="F50" s="249" t="s">
        <v>979</v>
      </c>
      <c r="K50" s="249"/>
      <c r="L50" s="249"/>
      <c r="M50" s="249"/>
      <c r="O50" s="249"/>
    </row>
    <row r="51" spans="1:15">
      <c r="C51" s="249"/>
      <c r="D51" s="249"/>
      <c r="E51" s="730">
        <v>20.25</v>
      </c>
      <c r="F51" s="249" t="s">
        <v>979</v>
      </c>
      <c r="K51" s="249"/>
      <c r="L51" s="249"/>
      <c r="M51" s="249"/>
      <c r="O51" s="249"/>
    </row>
    <row r="52" spans="1:15">
      <c r="C52" s="249"/>
      <c r="D52" s="249"/>
      <c r="E52" s="730">
        <v>20.25</v>
      </c>
      <c r="F52" s="249" t="s">
        <v>979</v>
      </c>
      <c r="K52" s="249"/>
      <c r="L52" s="249"/>
      <c r="M52" s="249"/>
      <c r="O52" s="249"/>
    </row>
    <row r="53" spans="1:15">
      <c r="C53" s="249"/>
      <c r="D53" s="249"/>
      <c r="E53" s="730">
        <v>0.34</v>
      </c>
      <c r="F53" s="249" t="s">
        <v>980</v>
      </c>
      <c r="K53" s="249"/>
      <c r="L53" s="249"/>
      <c r="M53" s="249"/>
      <c r="O53" s="249"/>
    </row>
    <row r="54" spans="1:15">
      <c r="C54" s="249"/>
      <c r="D54" s="249"/>
      <c r="E54" s="730">
        <f>SUM(E50:E53)</f>
        <v>61.09</v>
      </c>
      <c r="F54" s="249" t="s">
        <v>981</v>
      </c>
      <c r="K54" s="249"/>
      <c r="L54" s="249"/>
      <c r="M54" s="249"/>
      <c r="O54" s="249"/>
    </row>
    <row r="55" spans="1:15">
      <c r="C55" s="249"/>
      <c r="D55" s="249"/>
      <c r="E55" s="730">
        <f>+E54+D14</f>
        <v>126.09</v>
      </c>
      <c r="F55" s="249" t="s">
        <v>982</v>
      </c>
      <c r="K55" s="249"/>
      <c r="L55" s="249"/>
      <c r="M55" s="249"/>
      <c r="O55" s="249"/>
    </row>
    <row r="56" spans="1:15">
      <c r="C56" s="249"/>
      <c r="D56" s="249"/>
      <c r="E56" s="249"/>
      <c r="K56" s="249"/>
      <c r="L56" s="249"/>
      <c r="M56" s="249"/>
      <c r="O56" s="249"/>
    </row>
    <row r="57" spans="1:15">
      <c r="C57" s="249"/>
      <c r="D57" s="249"/>
      <c r="E57" s="249"/>
    </row>
    <row r="58" spans="1:15">
      <c r="C58" s="249"/>
      <c r="D58" s="249"/>
      <c r="E58" s="249"/>
    </row>
    <row r="59" spans="1:15">
      <c r="C59" s="249"/>
      <c r="D59" s="249"/>
      <c r="E59" s="249"/>
    </row>
    <row r="60" spans="1:15">
      <c r="C60" s="249"/>
      <c r="D60" s="249"/>
      <c r="E60" s="249"/>
    </row>
    <row r="61" spans="1:15">
      <c r="C61" s="249"/>
      <c r="D61" s="249"/>
      <c r="E61" s="249"/>
    </row>
    <row r="66" spans="8:8">
      <c r="H66" s="247"/>
    </row>
  </sheetData>
  <mergeCells count="2">
    <mergeCell ref="A1:F1"/>
    <mergeCell ref="I1:N1"/>
  </mergeCells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82"/>
  <sheetViews>
    <sheetView workbookViewId="0">
      <pane ySplit="1" topLeftCell="A2" activePane="bottomLeft" state="frozen"/>
      <selection pane="bottomLeft" activeCell="B16" sqref="A16:B16"/>
    </sheetView>
  </sheetViews>
  <sheetFormatPr baseColWidth="10" defaultColWidth="21.5" defaultRowHeight="12"/>
  <cols>
    <col min="1" max="1" width="8.5" style="21" customWidth="1"/>
    <col min="2" max="2" width="33.1640625" style="21" customWidth="1"/>
    <col min="3" max="3" width="2.6640625" style="21" customWidth="1"/>
    <col min="4" max="4" width="9.08203125" style="22" customWidth="1"/>
    <col min="5" max="5" width="24.6640625" style="21" customWidth="1"/>
    <col min="6" max="6" width="3.1640625" style="21" customWidth="1"/>
    <col min="7" max="8" width="10.6640625" style="22" customWidth="1"/>
    <col min="9" max="9" width="33.6640625" style="21" customWidth="1"/>
    <col min="10" max="10" width="8.33203125" style="22" customWidth="1"/>
    <col min="11" max="11" width="10.08203125" style="21" customWidth="1"/>
    <col min="12" max="12" width="30.33203125" style="21" customWidth="1"/>
    <col min="13" max="16384" width="21.5" style="21"/>
  </cols>
  <sheetData>
    <row r="1" spans="1:14" ht="18.5">
      <c r="B1" s="95" t="s">
        <v>275</v>
      </c>
      <c r="C1" s="133"/>
      <c r="D1" s="40"/>
      <c r="E1" s="93" t="s">
        <v>276</v>
      </c>
      <c r="F1" s="133"/>
      <c r="G1" s="139" t="s">
        <v>298</v>
      </c>
      <c r="H1" s="139"/>
      <c r="I1" s="140"/>
      <c r="J1" s="70" t="s">
        <v>199</v>
      </c>
      <c r="M1" s="141" t="s">
        <v>200</v>
      </c>
      <c r="N1" s="141"/>
    </row>
    <row r="2" spans="1:14">
      <c r="C2" s="133"/>
      <c r="F2" s="133"/>
      <c r="H2" s="22">
        <v>100</v>
      </c>
      <c r="N2" s="22"/>
    </row>
    <row r="3" spans="1:14">
      <c r="C3" s="133"/>
      <c r="F3" s="133"/>
      <c r="J3" s="21"/>
      <c r="K3" s="22"/>
      <c r="M3" s="23" t="s">
        <v>80</v>
      </c>
      <c r="N3" s="24" t="s">
        <v>79</v>
      </c>
    </row>
    <row r="4" spans="1:14" s="26" customFormat="1" ht="13">
      <c r="A4" s="96" t="s">
        <v>202</v>
      </c>
      <c r="B4" s="97" t="s">
        <v>203</v>
      </c>
      <c r="C4" s="134"/>
      <c r="D4" s="96" t="s">
        <v>202</v>
      </c>
      <c r="E4" s="97" t="s">
        <v>226</v>
      </c>
      <c r="F4" s="134"/>
      <c r="G4" s="41" t="s">
        <v>74</v>
      </c>
      <c r="H4" s="41" t="s">
        <v>202</v>
      </c>
      <c r="I4" s="41" t="s">
        <v>76</v>
      </c>
      <c r="J4" s="41" t="s">
        <v>156</v>
      </c>
      <c r="K4" s="26" t="s">
        <v>78</v>
      </c>
      <c r="L4" s="26" t="s">
        <v>204</v>
      </c>
      <c r="M4" s="23" t="s">
        <v>81</v>
      </c>
      <c r="N4" s="24" t="s">
        <v>207</v>
      </c>
    </row>
    <row r="5" spans="1:14" s="57" customFormat="1" ht="13">
      <c r="A5" s="94" t="s">
        <v>273</v>
      </c>
      <c r="B5" s="23" t="s">
        <v>404</v>
      </c>
      <c r="C5" s="135"/>
      <c r="D5" s="97">
        <v>1200</v>
      </c>
      <c r="E5" s="97"/>
      <c r="F5" s="135"/>
      <c r="G5" s="54">
        <v>120000</v>
      </c>
      <c r="H5" s="22">
        <v>1200</v>
      </c>
      <c r="I5" s="55" t="s">
        <v>159</v>
      </c>
      <c r="J5" s="59" t="s">
        <v>163</v>
      </c>
      <c r="K5" s="56">
        <v>12</v>
      </c>
      <c r="L5" s="57" t="s">
        <v>161</v>
      </c>
      <c r="M5" s="23" t="s">
        <v>83</v>
      </c>
      <c r="N5" s="24" t="s">
        <v>82</v>
      </c>
    </row>
    <row r="6" spans="1:14" s="57" customFormat="1" ht="13">
      <c r="A6" s="94" t="s">
        <v>198</v>
      </c>
      <c r="B6" s="23" t="s">
        <v>264</v>
      </c>
      <c r="C6" s="135"/>
      <c r="D6" s="263">
        <v>4010</v>
      </c>
      <c r="E6" s="264" t="s">
        <v>896</v>
      </c>
      <c r="F6" s="135"/>
      <c r="G6" s="54">
        <v>401000</v>
      </c>
      <c r="H6" s="22">
        <v>4500</v>
      </c>
      <c r="I6" s="55" t="s">
        <v>896</v>
      </c>
      <c r="J6" s="59" t="s">
        <v>163</v>
      </c>
      <c r="K6" s="56">
        <v>40</v>
      </c>
      <c r="L6" s="57" t="s">
        <v>896</v>
      </c>
    </row>
    <row r="7" spans="1:14" ht="13">
      <c r="A7" s="359" t="s">
        <v>232</v>
      </c>
      <c r="B7" s="360" t="s">
        <v>265</v>
      </c>
      <c r="C7" s="135"/>
      <c r="D7" s="263">
        <v>4500</v>
      </c>
      <c r="E7" s="264" t="s">
        <v>554</v>
      </c>
      <c r="F7" s="135"/>
      <c r="G7" s="54">
        <v>450000</v>
      </c>
      <c r="H7" s="22">
        <v>4500</v>
      </c>
      <c r="I7" s="55" t="s">
        <v>554</v>
      </c>
      <c r="J7" s="59" t="s">
        <v>163</v>
      </c>
      <c r="K7" s="56">
        <v>45</v>
      </c>
      <c r="L7" s="57" t="s">
        <v>554</v>
      </c>
    </row>
    <row r="8" spans="1:14" ht="13">
      <c r="A8" s="361" t="s">
        <v>307</v>
      </c>
      <c r="B8" s="362" t="s">
        <v>266</v>
      </c>
      <c r="C8" s="135"/>
      <c r="D8" s="263">
        <v>4860</v>
      </c>
      <c r="E8" s="264" t="s">
        <v>398</v>
      </c>
      <c r="F8" s="135"/>
      <c r="G8" s="54">
        <v>486000</v>
      </c>
      <c r="H8" s="22">
        <v>4860</v>
      </c>
      <c r="I8" s="55" t="s">
        <v>398</v>
      </c>
      <c r="J8" s="59" t="s">
        <v>163</v>
      </c>
      <c r="K8" s="56">
        <v>48</v>
      </c>
      <c r="L8" s="57" t="s">
        <v>399</v>
      </c>
    </row>
    <row r="9" spans="1:14" ht="13">
      <c r="A9" s="361" t="s">
        <v>234</v>
      </c>
      <c r="B9" s="362" t="s">
        <v>267</v>
      </c>
      <c r="C9" s="135"/>
      <c r="D9" s="263">
        <v>5120</v>
      </c>
      <c r="E9" s="264" t="s">
        <v>160</v>
      </c>
      <c r="F9" s="135"/>
      <c r="G9" s="54">
        <v>512000</v>
      </c>
      <c r="H9" s="22">
        <v>5120</v>
      </c>
      <c r="I9" s="55" t="s">
        <v>160</v>
      </c>
      <c r="J9" s="59" t="s">
        <v>163</v>
      </c>
      <c r="K9" s="56">
        <v>50</v>
      </c>
      <c r="L9" s="57" t="s">
        <v>210</v>
      </c>
    </row>
    <row r="10" spans="1:14" ht="13">
      <c r="A10" s="359" t="s">
        <v>308</v>
      </c>
      <c r="B10" s="360" t="s">
        <v>269</v>
      </c>
      <c r="C10" s="135"/>
      <c r="D10" s="263">
        <v>5130</v>
      </c>
      <c r="E10" s="264" t="s">
        <v>580</v>
      </c>
      <c r="F10" s="135"/>
      <c r="G10" s="54">
        <v>513000</v>
      </c>
      <c r="H10" s="22">
        <v>5130</v>
      </c>
      <c r="I10" s="55" t="s">
        <v>580</v>
      </c>
      <c r="J10" s="59" t="s">
        <v>163</v>
      </c>
      <c r="K10" s="56">
        <v>50</v>
      </c>
      <c r="L10" s="57" t="s">
        <v>210</v>
      </c>
    </row>
    <row r="11" spans="1:14" ht="13">
      <c r="A11" s="359"/>
      <c r="B11" s="360" t="s">
        <v>394</v>
      </c>
      <c r="C11" s="135"/>
      <c r="D11" s="263">
        <v>5300</v>
      </c>
      <c r="E11" s="264" t="s">
        <v>209</v>
      </c>
      <c r="F11" s="135"/>
      <c r="G11" s="54">
        <v>530000</v>
      </c>
      <c r="H11" s="22">
        <v>5300</v>
      </c>
      <c r="I11" s="55" t="s">
        <v>209</v>
      </c>
      <c r="J11" s="59" t="s">
        <v>163</v>
      </c>
      <c r="K11" s="56">
        <v>50</v>
      </c>
      <c r="L11" s="57" t="s">
        <v>210</v>
      </c>
    </row>
    <row r="12" spans="1:14">
      <c r="A12" s="361" t="s">
        <v>306</v>
      </c>
      <c r="B12" s="362" t="s">
        <v>268</v>
      </c>
      <c r="C12" s="135"/>
      <c r="D12" s="22">
        <v>6022</v>
      </c>
      <c r="E12" s="21" t="s">
        <v>410</v>
      </c>
      <c r="F12" s="135"/>
      <c r="G12" s="24">
        <v>602200</v>
      </c>
      <c r="H12" s="22">
        <v>6022</v>
      </c>
      <c r="I12" s="23" t="s">
        <v>30</v>
      </c>
      <c r="J12" s="23" t="s">
        <v>157</v>
      </c>
      <c r="K12" s="24">
        <v>60</v>
      </c>
      <c r="L12" s="23" t="s">
        <v>29</v>
      </c>
    </row>
    <row r="13" spans="1:14">
      <c r="A13" s="94" t="s">
        <v>171</v>
      </c>
      <c r="B13" s="23" t="s">
        <v>270</v>
      </c>
      <c r="C13" s="133"/>
      <c r="D13" s="22">
        <v>6040</v>
      </c>
      <c r="E13" s="21" t="s">
        <v>284</v>
      </c>
      <c r="F13" s="133"/>
      <c r="G13" s="24">
        <v>604000</v>
      </c>
      <c r="H13" s="22">
        <v>6040</v>
      </c>
      <c r="I13" s="23" t="s">
        <v>70</v>
      </c>
      <c r="J13" s="23" t="s">
        <v>157</v>
      </c>
      <c r="K13" s="24">
        <v>60</v>
      </c>
      <c r="L13" s="23" t="s">
        <v>29</v>
      </c>
    </row>
    <row r="14" spans="1:14">
      <c r="A14" s="94" t="s">
        <v>173</v>
      </c>
      <c r="B14" s="23" t="s">
        <v>272</v>
      </c>
      <c r="C14" s="133"/>
      <c r="D14" s="22">
        <v>6064</v>
      </c>
      <c r="E14" s="21" t="s">
        <v>278</v>
      </c>
      <c r="F14" s="133"/>
      <c r="G14" s="24">
        <v>606100</v>
      </c>
      <c r="H14" s="22">
        <v>6061</v>
      </c>
      <c r="I14" s="23" t="s">
        <v>33</v>
      </c>
      <c r="J14" s="23" t="s">
        <v>157</v>
      </c>
      <c r="K14" s="24">
        <v>60</v>
      </c>
      <c r="L14" s="23" t="s">
        <v>29</v>
      </c>
    </row>
    <row r="15" spans="1:14">
      <c r="A15" s="94" t="s">
        <v>304</v>
      </c>
      <c r="B15" s="23" t="s">
        <v>421</v>
      </c>
      <c r="C15" s="133"/>
      <c r="D15" s="22">
        <v>6068</v>
      </c>
      <c r="E15" s="21" t="s">
        <v>36</v>
      </c>
      <c r="F15" s="133"/>
      <c r="G15" s="24">
        <v>606400</v>
      </c>
      <c r="H15" s="22">
        <v>6064</v>
      </c>
      <c r="I15" s="23" t="s">
        <v>35</v>
      </c>
      <c r="J15" s="23" t="s">
        <v>157</v>
      </c>
      <c r="K15" s="24">
        <v>60</v>
      </c>
      <c r="L15" s="23" t="s">
        <v>29</v>
      </c>
    </row>
    <row r="16" spans="1:14">
      <c r="A16" s="1465" t="s">
        <v>998</v>
      </c>
      <c r="B16" s="1466" t="s">
        <v>997</v>
      </c>
      <c r="C16" s="133"/>
      <c r="D16" s="22">
        <v>6070</v>
      </c>
      <c r="E16" s="21" t="s">
        <v>286</v>
      </c>
      <c r="F16" s="133"/>
      <c r="G16" s="24">
        <v>606800</v>
      </c>
      <c r="H16" s="22">
        <v>6068</v>
      </c>
      <c r="I16" s="23" t="s">
        <v>36</v>
      </c>
      <c r="J16" s="23" t="s">
        <v>157</v>
      </c>
      <c r="K16" s="24">
        <v>60</v>
      </c>
      <c r="L16" s="23" t="s">
        <v>29</v>
      </c>
    </row>
    <row r="17" spans="1:16">
      <c r="A17" s="361" t="s">
        <v>422</v>
      </c>
      <c r="B17" s="362" t="s">
        <v>395</v>
      </c>
      <c r="C17" s="133"/>
      <c r="D17" s="22">
        <v>6071</v>
      </c>
      <c r="E17" s="21" t="s">
        <v>287</v>
      </c>
      <c r="F17" s="133"/>
      <c r="G17" s="24">
        <v>607000</v>
      </c>
      <c r="H17" s="22">
        <v>6070</v>
      </c>
      <c r="I17" s="23" t="s">
        <v>286</v>
      </c>
      <c r="J17" s="23" t="s">
        <v>157</v>
      </c>
      <c r="K17" s="24">
        <v>60</v>
      </c>
      <c r="L17" s="23" t="s">
        <v>29</v>
      </c>
    </row>
    <row r="18" spans="1:16">
      <c r="A18" s="361" t="s">
        <v>423</v>
      </c>
      <c r="B18" s="362" t="s">
        <v>424</v>
      </c>
      <c r="C18" s="133"/>
      <c r="D18" s="22">
        <v>6110</v>
      </c>
      <c r="E18" s="21" t="s">
        <v>396</v>
      </c>
      <c r="F18" s="133"/>
      <c r="G18" s="24">
        <v>607100</v>
      </c>
      <c r="H18" s="22">
        <v>6071</v>
      </c>
      <c r="I18" s="21" t="s">
        <v>287</v>
      </c>
      <c r="J18" s="23" t="s">
        <v>157</v>
      </c>
      <c r="K18" s="24">
        <v>60</v>
      </c>
      <c r="L18" s="23" t="s">
        <v>37</v>
      </c>
    </row>
    <row r="19" spans="1:16">
      <c r="A19" s="361" t="s">
        <v>425</v>
      </c>
      <c r="B19" s="362" t="s">
        <v>426</v>
      </c>
      <c r="C19" s="133"/>
      <c r="D19" s="22">
        <v>6150</v>
      </c>
      <c r="E19" s="21" t="s">
        <v>535</v>
      </c>
      <c r="F19" s="133"/>
      <c r="G19" s="24">
        <v>611000</v>
      </c>
      <c r="H19" s="22">
        <v>6110</v>
      </c>
      <c r="I19" s="23" t="s">
        <v>71</v>
      </c>
      <c r="J19" s="23" t="s">
        <v>157</v>
      </c>
      <c r="K19" s="24">
        <v>61</v>
      </c>
      <c r="L19" s="23" t="s">
        <v>37</v>
      </c>
    </row>
    <row r="20" spans="1:16">
      <c r="A20" s="361" t="s">
        <v>527</v>
      </c>
      <c r="B20" s="362" t="s">
        <v>433</v>
      </c>
      <c r="C20" s="133"/>
      <c r="D20" s="22">
        <v>6160</v>
      </c>
      <c r="E20" s="21" t="s">
        <v>279</v>
      </c>
      <c r="F20" s="133"/>
      <c r="G20" s="24">
        <v>613000</v>
      </c>
      <c r="H20" s="22">
        <v>6130</v>
      </c>
      <c r="I20" s="23" t="s">
        <v>40</v>
      </c>
      <c r="J20" s="23" t="s">
        <v>157</v>
      </c>
      <c r="K20" s="24">
        <v>61</v>
      </c>
      <c r="L20" s="23" t="s">
        <v>37</v>
      </c>
    </row>
    <row r="21" spans="1:16">
      <c r="A21" s="361" t="s">
        <v>511</v>
      </c>
      <c r="B21" s="362" t="s">
        <v>512</v>
      </c>
      <c r="C21" s="133"/>
      <c r="D21" s="22">
        <v>6181</v>
      </c>
      <c r="E21" s="21" t="s">
        <v>312</v>
      </c>
      <c r="F21" s="133"/>
      <c r="G21" s="24">
        <v>615000</v>
      </c>
      <c r="H21" s="22">
        <v>6150</v>
      </c>
      <c r="I21" s="23" t="s">
        <v>41</v>
      </c>
      <c r="J21" s="23" t="s">
        <v>157</v>
      </c>
      <c r="K21" s="24">
        <v>61</v>
      </c>
      <c r="L21" s="23" t="s">
        <v>37</v>
      </c>
    </row>
    <row r="22" spans="1:16">
      <c r="A22" s="94"/>
      <c r="B22" s="23"/>
      <c r="C22" s="133"/>
      <c r="D22" s="22">
        <v>6228</v>
      </c>
      <c r="E22" s="21" t="s">
        <v>432</v>
      </c>
      <c r="F22" s="133"/>
      <c r="G22" s="24">
        <v>616000</v>
      </c>
      <c r="H22" s="22">
        <v>6160</v>
      </c>
      <c r="I22" s="23" t="s">
        <v>167</v>
      </c>
      <c r="J22" s="23" t="s">
        <v>157</v>
      </c>
      <c r="K22" s="24">
        <v>61</v>
      </c>
      <c r="L22" s="23" t="s">
        <v>37</v>
      </c>
    </row>
    <row r="23" spans="1:16">
      <c r="A23" s="94"/>
      <c r="B23" s="132" t="s">
        <v>271</v>
      </c>
      <c r="C23" s="133"/>
      <c r="D23" s="22">
        <v>6230</v>
      </c>
      <c r="E23" s="21" t="s">
        <v>409</v>
      </c>
      <c r="F23" s="133"/>
      <c r="G23" s="24">
        <v>618100</v>
      </c>
      <c r="H23" s="22">
        <v>6181</v>
      </c>
      <c r="I23" s="23" t="s">
        <v>42</v>
      </c>
      <c r="J23" s="23" t="s">
        <v>157</v>
      </c>
      <c r="K23" s="24">
        <v>61</v>
      </c>
      <c r="L23" s="23" t="s">
        <v>43</v>
      </c>
    </row>
    <row r="24" spans="1:16" ht="11.5" customHeight="1">
      <c r="A24" s="94"/>
      <c r="B24" s="23"/>
      <c r="C24" s="133"/>
      <c r="D24" s="22">
        <v>6240</v>
      </c>
      <c r="E24" s="21" t="s">
        <v>155</v>
      </c>
      <c r="F24" s="133"/>
      <c r="G24" s="24">
        <v>622600</v>
      </c>
      <c r="H24" s="22">
        <v>6226</v>
      </c>
      <c r="I24" s="23" t="s">
        <v>44</v>
      </c>
      <c r="J24" s="23" t="s">
        <v>157</v>
      </c>
      <c r="K24" s="24">
        <v>62</v>
      </c>
      <c r="L24" s="23" t="s">
        <v>43</v>
      </c>
    </row>
    <row r="25" spans="1:16" s="48" customFormat="1">
      <c r="A25" s="94" t="s">
        <v>172</v>
      </c>
      <c r="B25" s="23" t="s">
        <v>201</v>
      </c>
      <c r="C25" s="133"/>
      <c r="D25" s="22">
        <v>6250</v>
      </c>
      <c r="E25" s="21" t="s">
        <v>313</v>
      </c>
      <c r="F25" s="133"/>
      <c r="G25" s="24">
        <v>622800</v>
      </c>
      <c r="H25" s="22">
        <v>6228</v>
      </c>
      <c r="I25" s="23" t="s">
        <v>220</v>
      </c>
      <c r="J25" s="23" t="s">
        <v>157</v>
      </c>
      <c r="K25" s="24">
        <v>62</v>
      </c>
      <c r="L25" s="23" t="s">
        <v>43</v>
      </c>
      <c r="M25" s="21"/>
      <c r="N25" s="21"/>
      <c r="O25" s="21"/>
    </row>
    <row r="26" spans="1:16" s="44" customFormat="1" ht="12.5" customHeight="1">
      <c r="A26" s="94" t="s">
        <v>230</v>
      </c>
      <c r="B26" s="23" t="s">
        <v>231</v>
      </c>
      <c r="C26" s="133"/>
      <c r="D26" s="22">
        <v>6256</v>
      </c>
      <c r="E26" s="21" t="s">
        <v>282</v>
      </c>
      <c r="F26" s="133"/>
      <c r="G26" s="24">
        <v>623000</v>
      </c>
      <c r="H26" s="22">
        <v>6230</v>
      </c>
      <c r="I26" s="23" t="s">
        <v>46</v>
      </c>
      <c r="J26" s="23" t="s">
        <v>157</v>
      </c>
      <c r="K26" s="24">
        <v>62</v>
      </c>
      <c r="L26" s="23" t="s">
        <v>43</v>
      </c>
      <c r="M26" s="21"/>
      <c r="N26" s="21"/>
      <c r="O26" s="48"/>
    </row>
    <row r="27" spans="1:16" s="44" customFormat="1">
      <c r="A27" s="94" t="s">
        <v>232</v>
      </c>
      <c r="B27" s="23" t="s">
        <v>233</v>
      </c>
      <c r="C27" s="133"/>
      <c r="D27" s="22">
        <v>6261</v>
      </c>
      <c r="E27" s="21" t="s">
        <v>280</v>
      </c>
      <c r="F27" s="133"/>
      <c r="G27" s="46">
        <v>624000</v>
      </c>
      <c r="H27" s="22">
        <v>6240</v>
      </c>
      <c r="I27" s="47" t="s">
        <v>155</v>
      </c>
      <c r="J27" s="23" t="s">
        <v>157</v>
      </c>
      <c r="K27" s="46">
        <v>62</v>
      </c>
      <c r="L27" s="23" t="s">
        <v>62</v>
      </c>
      <c r="M27" s="21"/>
      <c r="N27" s="21"/>
    </row>
    <row r="28" spans="1:16" s="44" customFormat="1">
      <c r="A28" s="94" t="s">
        <v>234</v>
      </c>
      <c r="B28" s="23" t="s">
        <v>235</v>
      </c>
      <c r="C28" s="133"/>
      <c r="D28" s="22">
        <v>6262</v>
      </c>
      <c r="E28" s="21" t="s">
        <v>623</v>
      </c>
      <c r="F28" s="136"/>
      <c r="G28" s="24">
        <v>625000</v>
      </c>
      <c r="H28" s="22">
        <v>6250</v>
      </c>
      <c r="I28" s="23" t="s">
        <v>48</v>
      </c>
      <c r="J28" s="23" t="s">
        <v>157</v>
      </c>
      <c r="K28" s="24">
        <v>62</v>
      </c>
      <c r="L28" s="23" t="s">
        <v>43</v>
      </c>
      <c r="M28" s="48"/>
      <c r="N28" s="48"/>
    </row>
    <row r="29" spans="1:16" s="48" customFormat="1">
      <c r="A29" s="94"/>
      <c r="B29" s="23"/>
      <c r="C29" s="133"/>
      <c r="D29" s="22">
        <v>6270</v>
      </c>
      <c r="E29" s="21" t="s">
        <v>283</v>
      </c>
      <c r="F29" s="137"/>
      <c r="G29" s="24">
        <v>625100</v>
      </c>
      <c r="H29" s="22">
        <v>6251</v>
      </c>
      <c r="I29" s="23" t="s">
        <v>49</v>
      </c>
      <c r="J29" s="23" t="s">
        <v>157</v>
      </c>
      <c r="K29" s="24">
        <v>62</v>
      </c>
      <c r="L29" s="23" t="s">
        <v>43</v>
      </c>
      <c r="M29" s="44"/>
      <c r="N29" s="44"/>
      <c r="O29" s="44"/>
    </row>
    <row r="30" spans="1:16" s="48" customFormat="1">
      <c r="A30" s="94"/>
      <c r="B30" s="23"/>
      <c r="C30" s="133"/>
      <c r="D30" s="22">
        <v>6280</v>
      </c>
      <c r="E30" s="21" t="s">
        <v>34</v>
      </c>
      <c r="F30" s="136"/>
      <c r="G30" s="24">
        <v>625600</v>
      </c>
      <c r="H30" s="22">
        <v>6256</v>
      </c>
      <c r="I30" s="23" t="s">
        <v>50</v>
      </c>
      <c r="J30" s="23" t="s">
        <v>157</v>
      </c>
      <c r="K30" s="24">
        <v>62</v>
      </c>
      <c r="L30" s="23" t="s">
        <v>43</v>
      </c>
      <c r="M30" s="44"/>
      <c r="N30" s="44"/>
      <c r="P30" s="21"/>
    </row>
    <row r="31" spans="1:16">
      <c r="C31" s="133"/>
      <c r="D31" s="22">
        <v>6281</v>
      </c>
      <c r="E31" s="21" t="s">
        <v>340</v>
      </c>
      <c r="F31" s="136"/>
      <c r="G31" s="24">
        <v>626100</v>
      </c>
      <c r="H31" s="22">
        <v>6261</v>
      </c>
      <c r="I31" s="23" t="s">
        <v>54</v>
      </c>
      <c r="J31" s="23" t="s">
        <v>157</v>
      </c>
      <c r="K31" s="24">
        <v>62</v>
      </c>
      <c r="L31" s="23" t="s">
        <v>43</v>
      </c>
      <c r="M31" s="48"/>
      <c r="N31" s="48"/>
    </row>
    <row r="32" spans="1:16">
      <c r="C32" s="133"/>
      <c r="D32" s="22">
        <v>6282</v>
      </c>
      <c r="E32" s="21" t="s">
        <v>126</v>
      </c>
      <c r="F32" s="133"/>
      <c r="G32" s="24">
        <v>626200</v>
      </c>
      <c r="H32" s="22">
        <v>6262</v>
      </c>
      <c r="I32" s="23" t="s">
        <v>56</v>
      </c>
      <c r="J32" s="23" t="s">
        <v>157</v>
      </c>
      <c r="K32" s="24">
        <v>62</v>
      </c>
      <c r="L32" s="47" t="s">
        <v>43</v>
      </c>
      <c r="M32" s="48"/>
      <c r="N32" s="48"/>
    </row>
    <row r="33" spans="1:16">
      <c r="C33" s="136"/>
      <c r="D33" s="22">
        <v>6410</v>
      </c>
      <c r="E33" s="21" t="s">
        <v>536</v>
      </c>
      <c r="F33" s="133"/>
      <c r="G33" s="46">
        <v>627000</v>
      </c>
      <c r="H33" s="22">
        <v>6270</v>
      </c>
      <c r="I33" s="47" t="s">
        <v>227</v>
      </c>
      <c r="J33" s="23" t="s">
        <v>157</v>
      </c>
      <c r="K33" s="46">
        <v>62</v>
      </c>
      <c r="L33" s="47" t="s">
        <v>43</v>
      </c>
    </row>
    <row r="34" spans="1:16">
      <c r="C34" s="137"/>
      <c r="D34" s="22">
        <v>6480</v>
      </c>
      <c r="E34" s="21" t="s">
        <v>537</v>
      </c>
      <c r="F34" s="133"/>
      <c r="G34" s="46">
        <v>628000</v>
      </c>
      <c r="H34" s="22">
        <v>6280</v>
      </c>
      <c r="I34" s="43" t="s">
        <v>34</v>
      </c>
      <c r="J34" s="23" t="s">
        <v>157</v>
      </c>
      <c r="K34" s="46">
        <v>62</v>
      </c>
      <c r="L34" s="43" t="s">
        <v>43</v>
      </c>
    </row>
    <row r="35" spans="1:16">
      <c r="A35" s="48"/>
      <c r="B35" s="48"/>
      <c r="C35" s="137"/>
      <c r="D35" s="22">
        <v>6700</v>
      </c>
      <c r="E35" s="21" t="s">
        <v>94</v>
      </c>
      <c r="F35" s="133"/>
      <c r="G35" s="46">
        <v>628100</v>
      </c>
      <c r="H35" s="22">
        <v>6281</v>
      </c>
      <c r="I35" s="43" t="s">
        <v>125</v>
      </c>
      <c r="J35" s="23" t="s">
        <v>157</v>
      </c>
      <c r="K35" s="46">
        <v>62</v>
      </c>
      <c r="L35" s="43" t="s">
        <v>43</v>
      </c>
    </row>
    <row r="36" spans="1:16">
      <c r="A36" s="44"/>
      <c r="B36" s="44"/>
      <c r="C36" s="136"/>
      <c r="D36" s="22">
        <v>7080</v>
      </c>
      <c r="E36" s="21" t="s">
        <v>314</v>
      </c>
      <c r="F36" s="133"/>
      <c r="G36" s="42">
        <v>628200</v>
      </c>
      <c r="H36" s="22">
        <v>6282</v>
      </c>
      <c r="I36" s="43" t="s">
        <v>126</v>
      </c>
      <c r="J36" s="23" t="s">
        <v>157</v>
      </c>
      <c r="K36" s="42">
        <v>62</v>
      </c>
      <c r="L36" s="47" t="s">
        <v>43</v>
      </c>
    </row>
    <row r="37" spans="1:16">
      <c r="A37" s="44"/>
      <c r="B37" s="44"/>
      <c r="C37" s="136"/>
      <c r="D37" s="22">
        <v>7088</v>
      </c>
      <c r="E37" s="21" t="s">
        <v>315</v>
      </c>
      <c r="F37" s="133"/>
      <c r="G37" s="24">
        <v>641000</v>
      </c>
      <c r="H37" s="22">
        <v>6410</v>
      </c>
      <c r="I37" s="23" t="s">
        <v>63</v>
      </c>
      <c r="J37" s="23" t="s">
        <v>157</v>
      </c>
      <c r="K37" s="24">
        <v>64</v>
      </c>
      <c r="L37" s="23" t="s">
        <v>62</v>
      </c>
    </row>
    <row r="38" spans="1:16">
      <c r="A38" s="48"/>
      <c r="B38" s="48"/>
      <c r="C38" s="133"/>
      <c r="D38" s="22">
        <v>7410</v>
      </c>
      <c r="E38" s="21" t="s">
        <v>577</v>
      </c>
      <c r="F38" s="133"/>
      <c r="G38" s="24">
        <v>645000</v>
      </c>
      <c r="H38" s="22">
        <v>6450</v>
      </c>
      <c r="I38" s="23" t="s">
        <v>64</v>
      </c>
      <c r="J38" s="23" t="s">
        <v>157</v>
      </c>
      <c r="K38" s="24">
        <v>64</v>
      </c>
      <c r="L38" s="23" t="s">
        <v>62</v>
      </c>
    </row>
    <row r="39" spans="1:16">
      <c r="A39" s="48"/>
      <c r="B39" s="48"/>
      <c r="C39" s="133"/>
      <c r="D39" s="22">
        <v>7420</v>
      </c>
      <c r="E39" s="21" t="s">
        <v>578</v>
      </c>
      <c r="F39" s="133"/>
      <c r="G39" s="24">
        <v>648000</v>
      </c>
      <c r="H39" s="22">
        <v>6480</v>
      </c>
      <c r="I39" s="23" t="s">
        <v>66</v>
      </c>
      <c r="J39" s="23" t="s">
        <v>157</v>
      </c>
      <c r="K39" s="24">
        <v>64</v>
      </c>
      <c r="L39" s="23" t="s">
        <v>62</v>
      </c>
      <c r="P39" s="44"/>
    </row>
    <row r="40" spans="1:16" s="44" customFormat="1">
      <c r="A40" s="21"/>
      <c r="B40" s="21"/>
      <c r="C40" s="133"/>
      <c r="D40" s="22">
        <v>7430</v>
      </c>
      <c r="E40" s="21" t="s">
        <v>579</v>
      </c>
      <c r="F40" s="133"/>
      <c r="G40" s="24">
        <v>648100</v>
      </c>
      <c r="H40" s="22">
        <v>6481</v>
      </c>
      <c r="I40" s="23" t="s">
        <v>68</v>
      </c>
      <c r="J40" s="23" t="s">
        <v>157</v>
      </c>
      <c r="K40" s="24">
        <v>64</v>
      </c>
      <c r="L40" s="23" t="s">
        <v>166</v>
      </c>
      <c r="M40" s="21"/>
      <c r="N40" s="21"/>
    </row>
    <row r="41" spans="1:16" s="44" customFormat="1">
      <c r="A41" s="21"/>
      <c r="B41" s="21"/>
      <c r="C41" s="133"/>
      <c r="D41" s="22">
        <v>7440</v>
      </c>
      <c r="E41" s="21" t="s">
        <v>762</v>
      </c>
      <c r="F41" s="137"/>
      <c r="G41" s="24">
        <v>670000</v>
      </c>
      <c r="H41" s="22">
        <v>6700</v>
      </c>
      <c r="I41" s="23" t="s">
        <v>94</v>
      </c>
      <c r="J41" s="23" t="s">
        <v>157</v>
      </c>
      <c r="K41" s="24">
        <v>67</v>
      </c>
      <c r="L41" s="23" t="s">
        <v>515</v>
      </c>
      <c r="M41" s="21"/>
      <c r="N41" s="21"/>
    </row>
    <row r="42" spans="1:16" s="44" customFormat="1">
      <c r="A42" s="21"/>
      <c r="B42" s="21"/>
      <c r="C42" s="133"/>
      <c r="D42" s="22">
        <v>7450</v>
      </c>
      <c r="E42" s="21" t="s">
        <v>763</v>
      </c>
      <c r="F42" s="137"/>
      <c r="G42" s="24">
        <v>681000</v>
      </c>
      <c r="H42" s="22">
        <v>6810</v>
      </c>
      <c r="I42" s="23" t="s">
        <v>166</v>
      </c>
      <c r="J42" s="23" t="s">
        <v>157</v>
      </c>
      <c r="K42" s="24">
        <v>68</v>
      </c>
      <c r="L42" s="23" t="s">
        <v>206</v>
      </c>
    </row>
    <row r="43" spans="1:16" s="44" customFormat="1">
      <c r="A43" s="21"/>
      <c r="B43" s="21"/>
      <c r="C43" s="133"/>
      <c r="D43" s="22">
        <v>7480</v>
      </c>
      <c r="E43" s="21" t="s">
        <v>285</v>
      </c>
      <c r="F43" s="137"/>
      <c r="G43" s="24">
        <v>706000</v>
      </c>
      <c r="H43" s="22">
        <v>7060</v>
      </c>
      <c r="I43" s="23" t="s">
        <v>31</v>
      </c>
      <c r="J43" s="23" t="s">
        <v>158</v>
      </c>
      <c r="K43" s="24">
        <v>70</v>
      </c>
      <c r="L43" s="23" t="s">
        <v>206</v>
      </c>
    </row>
    <row r="44" spans="1:16" s="44" customFormat="1">
      <c r="A44" s="21"/>
      <c r="B44" s="21"/>
      <c r="C44" s="133"/>
      <c r="D44" s="22">
        <v>7581</v>
      </c>
      <c r="E44" s="21" t="s">
        <v>277</v>
      </c>
      <c r="F44" s="137"/>
      <c r="G44" s="24">
        <v>708000</v>
      </c>
      <c r="H44" s="22">
        <v>7080</v>
      </c>
      <c r="I44" s="23" t="s">
        <v>32</v>
      </c>
      <c r="J44" s="23" t="s">
        <v>158</v>
      </c>
      <c r="K44" s="24">
        <v>70</v>
      </c>
      <c r="L44" s="23" t="s">
        <v>206</v>
      </c>
    </row>
    <row r="45" spans="1:16" s="44" customFormat="1">
      <c r="A45" s="21"/>
      <c r="B45" s="21"/>
      <c r="C45" s="133"/>
      <c r="D45" s="22">
        <v>7588</v>
      </c>
      <c r="E45" s="21" t="s">
        <v>60</v>
      </c>
      <c r="F45" s="137"/>
      <c r="G45" s="24">
        <v>708800</v>
      </c>
      <c r="H45" s="22">
        <v>7088</v>
      </c>
      <c r="I45" s="23" t="s">
        <v>34</v>
      </c>
      <c r="J45" s="23" t="s">
        <v>158</v>
      </c>
      <c r="K45" s="24">
        <v>70</v>
      </c>
      <c r="L45" s="23" t="s">
        <v>38</v>
      </c>
    </row>
    <row r="46" spans="1:16" s="44" customFormat="1">
      <c r="A46" s="21"/>
      <c r="B46" s="21"/>
      <c r="C46" s="133"/>
      <c r="D46" s="22">
        <v>7660</v>
      </c>
      <c r="E46" s="21" t="s">
        <v>61</v>
      </c>
      <c r="F46" s="137"/>
      <c r="G46" s="24">
        <v>740000</v>
      </c>
      <c r="H46" s="22">
        <v>7400</v>
      </c>
      <c r="I46" s="23" t="s">
        <v>205</v>
      </c>
      <c r="J46" s="23" t="s">
        <v>158</v>
      </c>
      <c r="K46" s="24">
        <v>74</v>
      </c>
      <c r="L46" s="43" t="s">
        <v>38</v>
      </c>
    </row>
    <row r="47" spans="1:16" s="44" customFormat="1">
      <c r="A47" s="21"/>
      <c r="B47" s="21"/>
      <c r="C47" s="137"/>
      <c r="D47" s="22">
        <v>7770</v>
      </c>
      <c r="E47" s="21" t="s">
        <v>65</v>
      </c>
      <c r="F47" s="137"/>
      <c r="G47" s="45">
        <v>741000</v>
      </c>
      <c r="H47" s="22">
        <v>7410</v>
      </c>
      <c r="I47" s="43" t="s">
        <v>72</v>
      </c>
      <c r="J47" s="23" t="s">
        <v>158</v>
      </c>
      <c r="K47" s="42">
        <v>74</v>
      </c>
      <c r="L47" s="43" t="s">
        <v>38</v>
      </c>
    </row>
    <row r="48" spans="1:16" s="44" customFormat="1">
      <c r="A48" s="21"/>
      <c r="B48" s="21"/>
      <c r="C48" s="137"/>
      <c r="D48" s="22">
        <v>7771</v>
      </c>
      <c r="E48" s="21" t="s">
        <v>281</v>
      </c>
      <c r="F48" s="137"/>
      <c r="G48" s="45">
        <v>742000</v>
      </c>
      <c r="H48" s="22">
        <v>7420</v>
      </c>
      <c r="I48" s="43" t="s">
        <v>73</v>
      </c>
      <c r="J48" s="23" t="s">
        <v>158</v>
      </c>
      <c r="K48" s="42">
        <v>74</v>
      </c>
      <c r="L48" s="43" t="s">
        <v>38</v>
      </c>
      <c r="P48" s="21"/>
    </row>
    <row r="49" spans="1:16">
      <c r="A49" s="44"/>
      <c r="B49" s="44"/>
      <c r="C49" s="137"/>
      <c r="D49" s="22">
        <v>7772</v>
      </c>
      <c r="E49" s="43" t="s">
        <v>69</v>
      </c>
      <c r="F49" s="137"/>
      <c r="G49" s="45">
        <v>743000</v>
      </c>
      <c r="H49" s="22">
        <v>7430</v>
      </c>
      <c r="I49" s="21" t="s">
        <v>576</v>
      </c>
      <c r="J49" s="23" t="s">
        <v>158</v>
      </c>
      <c r="K49" s="42">
        <v>74</v>
      </c>
      <c r="L49" s="43" t="s">
        <v>38</v>
      </c>
      <c r="M49" s="44"/>
      <c r="N49" s="44"/>
      <c r="P49" s="44"/>
    </row>
    <row r="50" spans="1:16" s="44" customFormat="1">
      <c r="C50" s="137"/>
      <c r="D50" s="265">
        <v>8620</v>
      </c>
      <c r="E50" s="266" t="s">
        <v>145</v>
      </c>
      <c r="F50" s="133"/>
      <c r="G50" s="45">
        <v>744000</v>
      </c>
      <c r="H50" s="22">
        <v>7440</v>
      </c>
      <c r="I50" s="21" t="s">
        <v>762</v>
      </c>
      <c r="J50" s="23" t="s">
        <v>158</v>
      </c>
      <c r="K50" s="42">
        <v>74</v>
      </c>
      <c r="L50" s="43" t="s">
        <v>38</v>
      </c>
    </row>
    <row r="51" spans="1:16" s="44" customFormat="1">
      <c r="C51" s="137"/>
      <c r="D51" s="265">
        <v>8640</v>
      </c>
      <c r="E51" s="266" t="s">
        <v>147</v>
      </c>
      <c r="F51" s="137"/>
      <c r="G51" s="45">
        <v>745000</v>
      </c>
      <c r="H51" s="22">
        <v>7450</v>
      </c>
      <c r="I51" s="21" t="s">
        <v>763</v>
      </c>
      <c r="J51" s="23" t="s">
        <v>158</v>
      </c>
      <c r="K51" s="42">
        <v>74</v>
      </c>
      <c r="L51" s="43" t="s">
        <v>38</v>
      </c>
      <c r="M51" s="21"/>
      <c r="N51" s="21"/>
    </row>
    <row r="52" spans="1:16" s="44" customFormat="1">
      <c r="C52" s="137"/>
      <c r="D52" s="265">
        <v>8700</v>
      </c>
      <c r="E52" s="266" t="s">
        <v>144</v>
      </c>
      <c r="F52" s="137"/>
      <c r="G52" s="45">
        <v>746000</v>
      </c>
      <c r="H52" s="22">
        <v>7460</v>
      </c>
      <c r="I52" s="43" t="s">
        <v>45</v>
      </c>
      <c r="J52" s="23" t="s">
        <v>158</v>
      </c>
      <c r="K52" s="42">
        <v>74</v>
      </c>
      <c r="L52" s="43" t="s">
        <v>38</v>
      </c>
    </row>
    <row r="53" spans="1:16" s="44" customFormat="1">
      <c r="C53" s="137"/>
      <c r="D53" s="265">
        <v>8710</v>
      </c>
      <c r="E53" s="266" t="s">
        <v>146</v>
      </c>
      <c r="F53" s="137"/>
      <c r="G53" s="45">
        <v>747000</v>
      </c>
      <c r="H53" s="22">
        <v>7470</v>
      </c>
      <c r="I53" s="43" t="s">
        <v>47</v>
      </c>
      <c r="J53" s="23" t="s">
        <v>158</v>
      </c>
      <c r="K53" s="42">
        <v>74</v>
      </c>
      <c r="L53" s="43" t="s">
        <v>38</v>
      </c>
      <c r="P53" s="21"/>
    </row>
    <row r="54" spans="1:16">
      <c r="A54" s="44"/>
      <c r="B54" s="44"/>
      <c r="C54" s="137"/>
      <c r="F54" s="137"/>
      <c r="G54" s="45">
        <v>748000</v>
      </c>
      <c r="H54" s="22">
        <v>7480</v>
      </c>
      <c r="I54" s="43" t="s">
        <v>51</v>
      </c>
      <c r="J54" s="23" t="s">
        <v>158</v>
      </c>
      <c r="K54" s="42">
        <v>74</v>
      </c>
      <c r="L54" s="43" t="s">
        <v>38</v>
      </c>
      <c r="M54" s="44"/>
      <c r="N54" s="44"/>
    </row>
    <row r="55" spans="1:16">
      <c r="A55" s="44"/>
      <c r="B55" s="44"/>
      <c r="C55" s="137"/>
      <c r="F55" s="133"/>
      <c r="G55" s="45">
        <v>749000</v>
      </c>
      <c r="H55" s="22">
        <v>7490</v>
      </c>
      <c r="I55" s="43" t="s">
        <v>39</v>
      </c>
      <c r="J55" s="23" t="s">
        <v>158</v>
      </c>
      <c r="K55" s="42">
        <v>74</v>
      </c>
      <c r="L55" s="23" t="s">
        <v>53</v>
      </c>
      <c r="M55" s="44"/>
      <c r="N55" s="44"/>
      <c r="P55" s="44"/>
    </row>
    <row r="56" spans="1:16" s="44" customFormat="1">
      <c r="C56" s="133"/>
      <c r="D56" s="22"/>
      <c r="E56" s="21"/>
      <c r="F56" s="133"/>
      <c r="G56" s="24">
        <v>758000</v>
      </c>
      <c r="H56" s="22">
        <v>7580</v>
      </c>
      <c r="I56" s="23" t="s">
        <v>55</v>
      </c>
      <c r="J56" s="23" t="s">
        <v>158</v>
      </c>
      <c r="K56" s="24">
        <v>75</v>
      </c>
      <c r="L56" s="43" t="s">
        <v>53</v>
      </c>
      <c r="M56" s="21"/>
      <c r="N56" s="21"/>
    </row>
    <row r="57" spans="1:16" s="44" customFormat="1">
      <c r="C57" s="137"/>
      <c r="D57" s="22"/>
      <c r="E57" s="21"/>
      <c r="F57" s="138"/>
      <c r="G57" s="45">
        <v>758100</v>
      </c>
      <c r="H57" s="22">
        <v>7581</v>
      </c>
      <c r="I57" s="43" t="s">
        <v>57</v>
      </c>
      <c r="J57" s="23" t="s">
        <v>158</v>
      </c>
      <c r="K57" s="42">
        <v>75</v>
      </c>
      <c r="L57" s="43" t="s">
        <v>53</v>
      </c>
      <c r="M57" s="21"/>
      <c r="N57" s="21"/>
      <c r="P57" s="101"/>
    </row>
    <row r="58" spans="1:16" s="101" customFormat="1">
      <c r="A58" s="21"/>
      <c r="B58" s="21"/>
      <c r="C58" s="137"/>
      <c r="D58" s="22"/>
      <c r="E58" s="21"/>
      <c r="F58" s="138"/>
      <c r="G58" s="45">
        <v>758200</v>
      </c>
      <c r="H58" s="22">
        <v>7582</v>
      </c>
      <c r="I58" s="43" t="s">
        <v>58</v>
      </c>
      <c r="J58" s="23" t="s">
        <v>158</v>
      </c>
      <c r="K58" s="42">
        <v>75</v>
      </c>
      <c r="L58" s="43" t="s">
        <v>53</v>
      </c>
      <c r="M58" s="44"/>
      <c r="N58" s="44"/>
    </row>
    <row r="59" spans="1:16" s="101" customFormat="1">
      <c r="A59" s="44"/>
      <c r="B59" s="44"/>
      <c r="C59" s="137"/>
      <c r="D59" s="22"/>
      <c r="E59" s="21"/>
      <c r="F59" s="138"/>
      <c r="G59" s="45">
        <v>758300</v>
      </c>
      <c r="H59" s="22">
        <v>7583</v>
      </c>
      <c r="I59" s="43" t="s">
        <v>59</v>
      </c>
      <c r="J59" s="23" t="s">
        <v>158</v>
      </c>
      <c r="K59" s="42">
        <v>75</v>
      </c>
      <c r="L59" s="43" t="s">
        <v>53</v>
      </c>
      <c r="M59" s="44"/>
      <c r="N59" s="44"/>
    </row>
    <row r="60" spans="1:16" s="101" customFormat="1">
      <c r="A60" s="44"/>
      <c r="B60" s="44"/>
      <c r="C60" s="137"/>
      <c r="D60" s="22"/>
      <c r="E60" s="21"/>
      <c r="F60" s="138"/>
      <c r="G60" s="45">
        <v>758800</v>
      </c>
      <c r="H60" s="22">
        <v>7588</v>
      </c>
      <c r="I60" s="43" t="s">
        <v>60</v>
      </c>
      <c r="J60" s="23" t="s">
        <v>158</v>
      </c>
      <c r="K60" s="42">
        <v>75</v>
      </c>
      <c r="L60" s="23" t="s">
        <v>61</v>
      </c>
    </row>
    <row r="61" spans="1:16" s="101" customFormat="1">
      <c r="A61" s="44"/>
      <c r="B61" s="44"/>
      <c r="C61" s="133"/>
      <c r="D61" s="22"/>
      <c r="E61" s="21"/>
      <c r="F61" s="138"/>
      <c r="G61" s="24">
        <v>766000</v>
      </c>
      <c r="H61" s="22">
        <v>7660</v>
      </c>
      <c r="I61" s="23" t="s">
        <v>61</v>
      </c>
      <c r="J61" s="23" t="s">
        <v>158</v>
      </c>
      <c r="K61" s="24">
        <v>76</v>
      </c>
      <c r="L61" s="23" t="s">
        <v>65</v>
      </c>
    </row>
    <row r="62" spans="1:16" s="101" customFormat="1">
      <c r="A62" s="44"/>
      <c r="B62" s="44"/>
      <c r="C62" s="133"/>
      <c r="D62" s="22"/>
      <c r="E62" s="21"/>
      <c r="F62" s="138"/>
      <c r="G62" s="24">
        <v>777000</v>
      </c>
      <c r="H62" s="22">
        <v>7770</v>
      </c>
      <c r="I62" s="23" t="s">
        <v>65</v>
      </c>
      <c r="J62" s="23" t="s">
        <v>158</v>
      </c>
      <c r="K62" s="24">
        <v>77</v>
      </c>
      <c r="L62" s="43" t="s">
        <v>65</v>
      </c>
    </row>
    <row r="63" spans="1:16" s="101" customFormat="1">
      <c r="A63" s="21"/>
      <c r="B63" s="21"/>
      <c r="C63" s="138"/>
      <c r="D63" s="22"/>
      <c r="E63" s="21"/>
      <c r="F63" s="138"/>
      <c r="G63" s="45">
        <v>777100</v>
      </c>
      <c r="H63" s="22">
        <v>7771</v>
      </c>
      <c r="I63" s="43" t="s">
        <v>67</v>
      </c>
      <c r="J63" s="23" t="s">
        <v>158</v>
      </c>
      <c r="K63" s="42">
        <v>77</v>
      </c>
      <c r="L63" s="43" t="s">
        <v>65</v>
      </c>
    </row>
    <row r="64" spans="1:16" s="101" customFormat="1">
      <c r="A64" s="21"/>
      <c r="B64" s="21"/>
      <c r="C64" s="138"/>
      <c r="D64" s="22"/>
      <c r="E64" s="21"/>
      <c r="F64" s="137"/>
      <c r="G64" s="45">
        <v>777200</v>
      </c>
      <c r="H64" s="22">
        <v>7772</v>
      </c>
      <c r="I64" s="43" t="s">
        <v>69</v>
      </c>
      <c r="J64" s="23" t="s">
        <v>158</v>
      </c>
      <c r="K64" s="42">
        <v>77</v>
      </c>
      <c r="L64" s="99" t="s">
        <v>139</v>
      </c>
      <c r="P64" s="44"/>
    </row>
    <row r="65" spans="1:16" s="44" customFormat="1">
      <c r="A65" s="101"/>
      <c r="B65" s="101"/>
      <c r="C65" s="138"/>
      <c r="D65" s="22"/>
      <c r="E65" s="21"/>
      <c r="G65" s="98">
        <v>860000</v>
      </c>
      <c r="H65" s="22">
        <v>8600</v>
      </c>
      <c r="I65" s="99" t="s">
        <v>141</v>
      </c>
      <c r="J65" s="99" t="s">
        <v>157</v>
      </c>
      <c r="K65" s="100">
        <v>86</v>
      </c>
      <c r="L65" s="99" t="s">
        <v>139</v>
      </c>
      <c r="M65" s="101"/>
      <c r="N65" s="101"/>
    </row>
    <row r="66" spans="1:16" s="44" customFormat="1">
      <c r="A66" s="101"/>
      <c r="B66" s="101"/>
      <c r="C66" s="138"/>
      <c r="D66" s="22"/>
      <c r="E66" s="132" t="s">
        <v>271</v>
      </c>
      <c r="G66" s="98">
        <v>861000</v>
      </c>
      <c r="H66" s="22">
        <v>8610</v>
      </c>
      <c r="I66" s="99" t="s">
        <v>143</v>
      </c>
      <c r="J66" s="99" t="s">
        <v>157</v>
      </c>
      <c r="K66" s="100">
        <v>86</v>
      </c>
      <c r="L66" s="99" t="s">
        <v>139</v>
      </c>
      <c r="M66" s="101"/>
      <c r="N66" s="101"/>
      <c r="P66" s="21"/>
    </row>
    <row r="67" spans="1:16">
      <c r="A67" s="101"/>
      <c r="B67" s="101"/>
      <c r="C67" s="138"/>
      <c r="F67" s="44"/>
      <c r="G67" s="98">
        <v>862000</v>
      </c>
      <c r="H67" s="22">
        <v>8620</v>
      </c>
      <c r="I67" s="99" t="s">
        <v>145</v>
      </c>
      <c r="J67" s="99" t="s">
        <v>157</v>
      </c>
      <c r="K67" s="100">
        <v>86</v>
      </c>
      <c r="L67" s="99" t="s">
        <v>139</v>
      </c>
      <c r="M67" s="44"/>
      <c r="N67" s="44"/>
    </row>
    <row r="68" spans="1:16" ht="13">
      <c r="A68" s="101"/>
      <c r="B68" s="101"/>
      <c r="C68" s="138"/>
      <c r="D68" s="56">
        <v>12</v>
      </c>
      <c r="E68" s="57" t="s">
        <v>161</v>
      </c>
      <c r="G68" s="98">
        <v>864000</v>
      </c>
      <c r="H68" s="22">
        <v>8640</v>
      </c>
      <c r="I68" s="99" t="s">
        <v>147</v>
      </c>
      <c r="J68" s="99" t="s">
        <v>157</v>
      </c>
      <c r="K68" s="100">
        <v>86</v>
      </c>
      <c r="L68" s="99" t="s">
        <v>142</v>
      </c>
      <c r="M68" s="44"/>
      <c r="N68" s="44"/>
    </row>
    <row r="69" spans="1:16" ht="13">
      <c r="A69" s="101"/>
      <c r="B69" s="101"/>
      <c r="C69" s="138"/>
      <c r="D69" s="56">
        <v>50</v>
      </c>
      <c r="E69" s="57" t="s">
        <v>210</v>
      </c>
      <c r="G69" s="98">
        <v>870000</v>
      </c>
      <c r="H69" s="22">
        <v>8700</v>
      </c>
      <c r="I69" s="99" t="s">
        <v>144</v>
      </c>
      <c r="J69" s="99" t="s">
        <v>158</v>
      </c>
      <c r="K69" s="100">
        <v>87</v>
      </c>
      <c r="L69" s="99" t="s">
        <v>142</v>
      </c>
    </row>
    <row r="70" spans="1:16">
      <c r="A70" s="101"/>
      <c r="B70" s="101"/>
      <c r="C70" s="137"/>
      <c r="D70" s="24">
        <v>60</v>
      </c>
      <c r="E70" s="23" t="s">
        <v>29</v>
      </c>
      <c r="G70" s="98">
        <v>871000</v>
      </c>
      <c r="H70" s="22">
        <v>8710</v>
      </c>
      <c r="I70" s="99" t="s">
        <v>146</v>
      </c>
      <c r="J70" s="99" t="s">
        <v>158</v>
      </c>
      <c r="K70" s="100">
        <v>87</v>
      </c>
      <c r="L70" s="99" t="s">
        <v>142</v>
      </c>
    </row>
    <row r="71" spans="1:16">
      <c r="A71" s="101"/>
      <c r="B71" s="101"/>
      <c r="C71" s="44"/>
      <c r="D71" s="24">
        <v>61</v>
      </c>
      <c r="E71" s="23" t="s">
        <v>37</v>
      </c>
      <c r="G71" s="98">
        <v>872000</v>
      </c>
      <c r="H71" s="22">
        <v>8720</v>
      </c>
      <c r="I71" s="99" t="s">
        <v>148</v>
      </c>
      <c r="J71" s="99" t="s">
        <v>158</v>
      </c>
      <c r="K71" s="100">
        <v>87</v>
      </c>
      <c r="L71" s="43"/>
    </row>
    <row r="72" spans="1:16">
      <c r="A72" s="44"/>
      <c r="B72" s="44"/>
      <c r="C72" s="44"/>
      <c r="D72" s="24">
        <v>62</v>
      </c>
      <c r="E72" s="23" t="s">
        <v>43</v>
      </c>
      <c r="G72" s="45"/>
      <c r="H72" s="45"/>
      <c r="I72" s="43"/>
      <c r="J72" s="23"/>
      <c r="K72" s="42"/>
      <c r="L72" s="43"/>
    </row>
    <row r="73" spans="1:16">
      <c r="A73" s="44"/>
      <c r="B73" s="44"/>
      <c r="C73" s="44"/>
      <c r="D73" s="24">
        <v>64</v>
      </c>
      <c r="E73" s="23" t="s">
        <v>62</v>
      </c>
      <c r="G73" s="28"/>
      <c r="H73" s="28"/>
      <c r="I73" s="43"/>
      <c r="J73" s="23"/>
      <c r="K73" s="42"/>
    </row>
    <row r="74" spans="1:16" ht="13">
      <c r="A74" s="44"/>
      <c r="B74" s="44"/>
      <c r="D74" s="24">
        <v>68</v>
      </c>
      <c r="E74" s="23" t="s">
        <v>166</v>
      </c>
      <c r="G74" s="40" t="s">
        <v>200</v>
      </c>
      <c r="H74" s="40" t="s">
        <v>200</v>
      </c>
      <c r="I74" s="30"/>
    </row>
    <row r="75" spans="1:16">
      <c r="A75" s="44"/>
      <c r="B75" s="44"/>
      <c r="D75" s="24">
        <v>70</v>
      </c>
      <c r="E75" s="23" t="s">
        <v>206</v>
      </c>
    </row>
    <row r="76" spans="1:16">
      <c r="D76" s="24">
        <v>74</v>
      </c>
      <c r="E76" s="23" t="s">
        <v>38</v>
      </c>
      <c r="G76" s="24" t="s">
        <v>79</v>
      </c>
      <c r="H76" s="24" t="s">
        <v>79</v>
      </c>
      <c r="I76" s="23" t="s">
        <v>80</v>
      </c>
    </row>
    <row r="77" spans="1:16">
      <c r="D77" s="42">
        <v>75</v>
      </c>
      <c r="E77" s="43" t="s">
        <v>274</v>
      </c>
      <c r="G77" s="24" t="s">
        <v>207</v>
      </c>
      <c r="H77" s="24" t="s">
        <v>207</v>
      </c>
      <c r="I77" s="23" t="s">
        <v>81</v>
      </c>
    </row>
    <row r="78" spans="1:16">
      <c r="D78" s="24">
        <v>76</v>
      </c>
      <c r="E78" s="23" t="s">
        <v>61</v>
      </c>
      <c r="G78" s="24" t="s">
        <v>82</v>
      </c>
      <c r="H78" s="24" t="s">
        <v>82</v>
      </c>
      <c r="I78" s="23" t="s">
        <v>83</v>
      </c>
    </row>
    <row r="79" spans="1:16">
      <c r="D79" s="24">
        <v>77</v>
      </c>
      <c r="E79" s="23" t="s">
        <v>65</v>
      </c>
    </row>
    <row r="80" spans="1:16" ht="23">
      <c r="D80" s="100">
        <v>86</v>
      </c>
      <c r="E80" s="99" t="s">
        <v>139</v>
      </c>
    </row>
    <row r="81" spans="4:5">
      <c r="D81" s="100">
        <v>87</v>
      </c>
      <c r="E81" s="99" t="s">
        <v>142</v>
      </c>
    </row>
    <row r="82" spans="4:5">
      <c r="D82" s="42"/>
      <c r="E82" s="43"/>
    </row>
  </sheetData>
  <sortState ref="D6:E33">
    <sortCondition ref="D6:D3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59999389629810485"/>
    <pageSetUpPr fitToPage="1"/>
  </sheetPr>
  <dimension ref="A1:W949"/>
  <sheetViews>
    <sheetView showRuler="0" zoomScale="70" zoomScaleNormal="70" zoomScalePageLayoutView="110" workbookViewId="0">
      <pane ySplit="9" topLeftCell="A10" activePane="bottomLeft" state="frozen"/>
      <selection activeCell="H21" activeCellId="1" sqref="C15 H21"/>
      <selection pane="bottomLeft" activeCell="G862" sqref="G862"/>
    </sheetView>
  </sheetViews>
  <sheetFormatPr baseColWidth="10" defaultColWidth="10.9140625" defaultRowHeight="14.5" outlineLevelCol="1"/>
  <cols>
    <col min="1" max="1" width="9.58203125" style="4" customWidth="1"/>
    <col min="2" max="2" width="5.4140625" style="4" customWidth="1"/>
    <col min="3" max="3" width="8.5" style="4" customWidth="1"/>
    <col min="4" max="4" width="11.1640625" style="544" customWidth="1"/>
    <col min="5" max="5" width="32.6640625" style="4" customWidth="1"/>
    <col min="6" max="6" width="16.1640625" style="4" customWidth="1"/>
    <col min="7" max="7" width="12.5" style="225" customWidth="1"/>
    <col min="8" max="8" width="11.08203125" style="225" customWidth="1"/>
    <col min="9" max="9" width="12.83203125" style="4" customWidth="1"/>
    <col min="10" max="11" width="9.6640625" style="19" customWidth="1"/>
    <col min="12" max="12" width="20.4140625" style="19" customWidth="1"/>
    <col min="13" max="13" width="22.25" style="19" customWidth="1"/>
    <col min="14" max="14" width="10.58203125" style="19" customWidth="1"/>
    <col min="15" max="15" width="11.08203125" style="4" customWidth="1" outlineLevel="1"/>
    <col min="16" max="16" width="9.6640625" style="19" customWidth="1" outlineLevel="1"/>
    <col min="17" max="17" width="18.5" style="4" customWidth="1" outlineLevel="1"/>
    <col min="18" max="19" width="6.9140625" style="50" customWidth="1" outlineLevel="1"/>
    <col min="20" max="20" width="26.6640625" style="4" customWidth="1" outlineLevel="1"/>
    <col min="21" max="16384" width="10.9140625" style="4"/>
  </cols>
  <sheetData>
    <row r="1" spans="1:20" ht="28" customHeight="1">
      <c r="A1" s="69" t="s">
        <v>169</v>
      </c>
      <c r="B1" s="69" t="s">
        <v>154</v>
      </c>
      <c r="C1" s="9" t="s">
        <v>3</v>
      </c>
      <c r="D1" s="543" t="s">
        <v>1</v>
      </c>
      <c r="E1" s="121" t="s">
        <v>2</v>
      </c>
      <c r="F1" s="121" t="s">
        <v>251</v>
      </c>
      <c r="G1" s="213" t="s">
        <v>300</v>
      </c>
      <c r="H1" s="214" t="s">
        <v>301</v>
      </c>
      <c r="I1" s="10" t="s">
        <v>236</v>
      </c>
      <c r="J1" s="103" t="s">
        <v>288</v>
      </c>
      <c r="K1" s="103" t="s">
        <v>226</v>
      </c>
      <c r="L1" s="103"/>
      <c r="M1" s="103"/>
      <c r="N1" s="150" t="s">
        <v>302</v>
      </c>
      <c r="O1" s="150" t="s">
        <v>303</v>
      </c>
      <c r="P1" s="103" t="s">
        <v>208</v>
      </c>
      <c r="R1" s="4"/>
      <c r="S1" s="4"/>
    </row>
    <row r="3" spans="1:20">
      <c r="C3" s="2"/>
      <c r="D3" s="545"/>
      <c r="E3" s="3"/>
      <c r="F3" s="3"/>
      <c r="G3" s="215"/>
      <c r="H3" s="215"/>
      <c r="I3" s="3"/>
      <c r="J3" s="20"/>
      <c r="K3" s="20"/>
      <c r="L3" s="20"/>
      <c r="M3" s="20"/>
      <c r="N3" s="20"/>
      <c r="O3" s="1"/>
      <c r="P3" s="20"/>
    </row>
    <row r="4" spans="1:20">
      <c r="C4" s="89" t="s">
        <v>168</v>
      </c>
      <c r="D4" s="546"/>
      <c r="E4" s="90"/>
      <c r="F4" s="90"/>
      <c r="G4" s="216" t="s">
        <v>75</v>
      </c>
      <c r="H4" s="216"/>
      <c r="I4" s="1"/>
      <c r="J4" s="20"/>
      <c r="K4" s="20"/>
      <c r="L4" s="20"/>
      <c r="M4" s="20"/>
      <c r="N4" s="20"/>
      <c r="O4" s="91"/>
      <c r="P4" s="20"/>
    </row>
    <row r="5" spans="1:20">
      <c r="C5" s="71"/>
      <c r="D5" s="547"/>
      <c r="E5" s="119"/>
      <c r="F5" s="119"/>
      <c r="G5" s="217"/>
      <c r="H5" s="218"/>
      <c r="I5" s="1"/>
      <c r="J5" s="20"/>
      <c r="K5" s="20">
        <v>4350</v>
      </c>
      <c r="L5" s="20">
        <v>0.25</v>
      </c>
      <c r="M5" s="20">
        <f>+K5*L5</f>
        <v>1087.5</v>
      </c>
      <c r="N5" s="20"/>
      <c r="O5" s="18"/>
      <c r="P5" s="20"/>
    </row>
    <row r="6" spans="1:20">
      <c r="C6" s="92" t="s">
        <v>0</v>
      </c>
      <c r="D6" s="548"/>
      <c r="E6" s="5"/>
      <c r="F6" s="5"/>
      <c r="G6" s="219"/>
      <c r="H6" s="220" t="s">
        <v>4</v>
      </c>
      <c r="I6" s="1"/>
      <c r="J6" s="20"/>
      <c r="K6" s="20"/>
      <c r="L6" s="20"/>
      <c r="M6" s="20"/>
      <c r="N6" s="20"/>
      <c r="O6" s="6"/>
      <c r="P6" s="20"/>
    </row>
    <row r="7" spans="1:20" ht="15" thickBot="1">
      <c r="B7" s="49" t="s">
        <v>152</v>
      </c>
      <c r="C7" s="7"/>
      <c r="D7" s="545"/>
      <c r="E7" s="1"/>
      <c r="F7" s="1"/>
      <c r="G7" s="215"/>
      <c r="H7" s="215"/>
      <c r="I7" s="73" t="s">
        <v>153</v>
      </c>
      <c r="J7" s="88" t="s">
        <v>152</v>
      </c>
      <c r="K7" s="88" t="s">
        <v>152</v>
      </c>
      <c r="L7" s="88"/>
      <c r="M7" s="88"/>
      <c r="N7" s="88"/>
      <c r="O7" s="73" t="s">
        <v>153</v>
      </c>
      <c r="P7" s="73" t="s">
        <v>153</v>
      </c>
      <c r="Q7" s="73" t="s">
        <v>153</v>
      </c>
      <c r="R7" s="51" t="s">
        <v>153</v>
      </c>
      <c r="S7" s="51" t="s">
        <v>153</v>
      </c>
      <c r="T7" s="73" t="s">
        <v>153</v>
      </c>
    </row>
    <row r="8" spans="1:20" ht="15" thickBot="1">
      <c r="B8" s="49"/>
      <c r="C8" s="7"/>
      <c r="D8" s="545"/>
      <c r="E8" s="215">
        <f>+F8-I857</f>
        <v>-22116.516000000003</v>
      </c>
      <c r="F8" s="227">
        <f>+G8-H8</f>
        <v>11230.994000000001</v>
      </c>
      <c r="G8" s="215">
        <f>SUBTOTAL(9,G10:G1004)</f>
        <v>12068.164000000001</v>
      </c>
      <c r="H8" s="215">
        <f>SUBTOTAL(9,H10:H899)</f>
        <v>837.17</v>
      </c>
      <c r="I8" s="469"/>
      <c r="J8" s="88"/>
      <c r="K8" s="88"/>
      <c r="L8" s="88"/>
      <c r="M8" s="88"/>
      <c r="N8" s="88"/>
      <c r="O8" s="215">
        <f>SUBTOTAL(9,O10:O955)</f>
        <v>8407.0139999999992</v>
      </c>
      <c r="P8" s="73"/>
      <c r="Q8" s="73"/>
      <c r="R8" s="51"/>
      <c r="S8" s="51"/>
      <c r="T8" s="73"/>
    </row>
    <row r="9" spans="1:20" ht="28" customHeight="1">
      <c r="A9" s="72" t="s">
        <v>169</v>
      </c>
      <c r="B9" s="69" t="s">
        <v>154</v>
      </c>
      <c r="C9" s="8" t="s">
        <v>3</v>
      </c>
      <c r="D9" s="543" t="s">
        <v>1</v>
      </c>
      <c r="E9" s="8" t="s">
        <v>2</v>
      </c>
      <c r="F9" s="121" t="s">
        <v>251</v>
      </c>
      <c r="G9" s="214" t="s">
        <v>300</v>
      </c>
      <c r="H9" s="214" t="s">
        <v>301</v>
      </c>
      <c r="I9" s="470" t="s">
        <v>236</v>
      </c>
      <c r="J9" s="103" t="s">
        <v>288</v>
      </c>
      <c r="K9" s="103" t="s">
        <v>226</v>
      </c>
      <c r="L9" s="150" t="s">
        <v>406</v>
      </c>
      <c r="M9" s="150" t="s">
        <v>407</v>
      </c>
      <c r="N9" s="103" t="s">
        <v>74</v>
      </c>
      <c r="O9" s="68" t="s">
        <v>299</v>
      </c>
      <c r="P9" s="75" t="s">
        <v>174</v>
      </c>
      <c r="Q9" s="25" t="s">
        <v>76</v>
      </c>
      <c r="R9" s="52" t="s">
        <v>164</v>
      </c>
      <c r="S9" s="52" t="s">
        <v>78</v>
      </c>
      <c r="T9" s="27" t="s">
        <v>77</v>
      </c>
    </row>
    <row r="10" spans="1:20" ht="15" hidden="1" customHeight="1">
      <c r="A10" s="72" t="s">
        <v>170</v>
      </c>
      <c r="B10" s="29" t="s">
        <v>79</v>
      </c>
      <c r="C10" s="12"/>
      <c r="D10" s="76">
        <v>43831</v>
      </c>
      <c r="E10" s="58" t="s">
        <v>162</v>
      </c>
      <c r="F10" s="143"/>
      <c r="G10" s="13">
        <f>I10</f>
        <v>306.08999999999997</v>
      </c>
      <c r="H10" s="14"/>
      <c r="I10" s="15">
        <v>306.08999999999997</v>
      </c>
      <c r="J10" s="74" t="s">
        <v>304</v>
      </c>
      <c r="K10" s="20">
        <f>N10/100</f>
        <v>5120</v>
      </c>
      <c r="L10" s="74" t="str">
        <f>VLOOKUP($J10,'2 CODIFICATION'!A$5:B$17,2,"FAUX")</f>
        <v>SOLDE N-1</v>
      </c>
      <c r="M10" s="74" t="str">
        <f>VLOOKUP($K10,'2 CODIFICATION'!D$8:E$64,2,"FAUX")</f>
        <v>Banque</v>
      </c>
      <c r="N10" s="20">
        <v>512000</v>
      </c>
      <c r="O10" s="14">
        <f t="shared" ref="O10:O41" si="0">G10-H10</f>
        <v>306.08999999999997</v>
      </c>
      <c r="P10" s="74">
        <f t="shared" ref="P10:P40" si="1">YEAR(D10)</f>
        <v>2020</v>
      </c>
      <c r="Q10" s="11" t="str">
        <f>VLOOKUP($N10,'2 CODIFICATION'!$G$5:$L$71,3,FALSE)</f>
        <v>Banque</v>
      </c>
      <c r="R10" s="53" t="str">
        <f>VLOOKUP($N10,'2 CODIFICATION'!$G$5:$L$71,4,FALSE)</f>
        <v>bilan</v>
      </c>
      <c r="S10" s="53">
        <f>VLOOKUP($N10,'2 CODIFICATION'!$G$5:$L$71,5,FALSE)</f>
        <v>50</v>
      </c>
      <c r="T10" s="11" t="str">
        <f>VLOOKUP($N10,'2 CODIFICATION'!$G$5:$L$71,6,FALSE)</f>
        <v>Trésorerie</v>
      </c>
    </row>
    <row r="11" spans="1:20" ht="15" hidden="1" customHeight="1">
      <c r="A11" s="72" t="s">
        <v>170</v>
      </c>
      <c r="B11" s="29" t="s">
        <v>79</v>
      </c>
      <c r="C11" s="12"/>
      <c r="D11" s="76">
        <v>43998</v>
      </c>
      <c r="E11" s="12" t="s">
        <v>11</v>
      </c>
      <c r="F11" s="111"/>
      <c r="G11" s="13"/>
      <c r="H11" s="14">
        <v>31</v>
      </c>
      <c r="I11" s="15">
        <f t="shared" ref="I11:I39" si="2">G11-H11+I10</f>
        <v>275.08999999999997</v>
      </c>
      <c r="J11" s="74" t="s">
        <v>273</v>
      </c>
      <c r="K11" s="20">
        <f t="shared" ref="K11:K71" si="3">N11/100</f>
        <v>6281</v>
      </c>
      <c r="L11" s="74" t="str">
        <f>VLOOKUP($J11,'2 CODIFICATION'!A$5:B$17,2,"FAUX")</f>
        <v>ADMINIST ET FONCT</v>
      </c>
      <c r="M11" s="74" t="str">
        <f>VLOOKUP($K11,'2 CODIFICATION'!D$8:E$64,2,"FAUX")</f>
        <v>adhésion Hellasso+ autres</v>
      </c>
      <c r="N11" s="45">
        <v>628100</v>
      </c>
      <c r="O11" s="14">
        <f t="shared" si="0"/>
        <v>-31</v>
      </c>
      <c r="P11" s="74">
        <f t="shared" si="1"/>
        <v>2020</v>
      </c>
      <c r="Q11" s="11" t="str">
        <f>VLOOKUP($N11,'2 CODIFICATION'!$G$5:$L$71,3,FALSE)</f>
        <v>adhesion Hellasso</v>
      </c>
      <c r="R11" s="53" t="str">
        <f>VLOOKUP($N11,'2 CODIFICATION'!$G$5:$L$71,4,FALSE)</f>
        <v>chges</v>
      </c>
      <c r="S11" s="53">
        <f>VLOOKUP($N11,'2 CODIFICATION'!$G$5:$L$71,5,FALSE)</f>
        <v>62</v>
      </c>
      <c r="T11" s="11" t="str">
        <f>VLOOKUP($N11,'2 CODIFICATION'!$G$5:$L$71,6,FALSE)</f>
        <v>Autres services extérieurs</v>
      </c>
    </row>
    <row r="12" spans="1:20" ht="15" hidden="1" customHeight="1">
      <c r="A12" s="72" t="s">
        <v>170</v>
      </c>
      <c r="B12" s="29" t="s">
        <v>79</v>
      </c>
      <c r="C12" s="12"/>
      <c r="D12" s="76">
        <v>44020</v>
      </c>
      <c r="E12" s="12" t="s">
        <v>12</v>
      </c>
      <c r="F12" s="111"/>
      <c r="G12" s="13"/>
      <c r="H12" s="14">
        <v>6.65</v>
      </c>
      <c r="I12" s="15">
        <f t="shared" si="2"/>
        <v>268.44</v>
      </c>
      <c r="J12" s="74" t="s">
        <v>273</v>
      </c>
      <c r="K12" s="20">
        <f t="shared" si="3"/>
        <v>6261</v>
      </c>
      <c r="L12" s="74" t="str">
        <f>VLOOKUP($J12,'2 CODIFICATION'!A$5:B$17,2,"FAUX")</f>
        <v>ADMINIST ET FONCT</v>
      </c>
      <c r="M12" s="74" t="str">
        <f>VLOOKUP($K12,'2 CODIFICATION'!D$8:E$64,2,"FAUX")</f>
        <v>Frais d'envoi</v>
      </c>
      <c r="N12" s="45">
        <v>626100</v>
      </c>
      <c r="O12" s="14">
        <f t="shared" si="0"/>
        <v>-6.65</v>
      </c>
      <c r="P12" s="74">
        <f t="shared" si="1"/>
        <v>2020</v>
      </c>
      <c r="Q12" s="11" t="str">
        <f>VLOOKUP($N12,'2 CODIFICATION'!$G$5:$L$71,3,FALSE)</f>
        <v>Frais postaux</v>
      </c>
      <c r="R12" s="53" t="str">
        <f>VLOOKUP($N12,'2 CODIFICATION'!$G$5:$L$71,4,FALSE)</f>
        <v>chges</v>
      </c>
      <c r="S12" s="53">
        <f>VLOOKUP($N12,'2 CODIFICATION'!$G$5:$L$71,5,FALSE)</f>
        <v>62</v>
      </c>
      <c r="T12" s="11" t="str">
        <f>VLOOKUP($N12,'2 CODIFICATION'!$G$5:$L$71,6,FALSE)</f>
        <v>Autres services extérieurs</v>
      </c>
    </row>
    <row r="13" spans="1:20" ht="15" hidden="1" customHeight="1">
      <c r="A13" s="72" t="s">
        <v>170</v>
      </c>
      <c r="B13" s="29" t="s">
        <v>79</v>
      </c>
      <c r="C13" s="12"/>
      <c r="D13" s="76">
        <v>44074</v>
      </c>
      <c r="E13" s="12" t="s">
        <v>9</v>
      </c>
      <c r="F13" s="111"/>
      <c r="G13" s="13"/>
      <c r="H13" s="14">
        <v>20</v>
      </c>
      <c r="I13" s="15">
        <f t="shared" si="2"/>
        <v>248.44</v>
      </c>
      <c r="J13" s="74" t="s">
        <v>273</v>
      </c>
      <c r="K13" s="20">
        <f t="shared" si="3"/>
        <v>6282</v>
      </c>
      <c r="L13" s="74" t="str">
        <f>VLOOKUP($J13,'2 CODIFICATION'!A$5:B$17,2,"FAUX")</f>
        <v>ADMINIST ET FONCT</v>
      </c>
      <c r="M13" s="74" t="str">
        <f>VLOOKUP($K13,'2 CODIFICATION'!D$8:E$64,2,"FAUX")</f>
        <v>adhésion RAHMI</v>
      </c>
      <c r="N13" s="45">
        <v>628200</v>
      </c>
      <c r="O13" s="14">
        <f t="shared" si="0"/>
        <v>-20</v>
      </c>
      <c r="P13" s="74">
        <f t="shared" si="1"/>
        <v>2020</v>
      </c>
      <c r="Q13" s="11" t="str">
        <f>VLOOKUP($N13,'2 CODIFICATION'!$G$5:$L$71,3,FALSE)</f>
        <v>adhésion RAHMI</v>
      </c>
      <c r="R13" s="53" t="str">
        <f>VLOOKUP($N13,'2 CODIFICATION'!$G$5:$L$71,4,FALSE)</f>
        <v>chges</v>
      </c>
      <c r="S13" s="53">
        <f>VLOOKUP($N13,'2 CODIFICATION'!$G$5:$L$71,5,FALSE)</f>
        <v>62</v>
      </c>
      <c r="T13" s="11" t="str">
        <f>VLOOKUP($N13,'2 CODIFICATION'!$G$5:$L$71,6,FALSE)</f>
        <v>Autres services extérieurs</v>
      </c>
    </row>
    <row r="14" spans="1:20" ht="15" hidden="1" customHeight="1">
      <c r="A14" s="72" t="s">
        <v>170</v>
      </c>
      <c r="B14" s="29" t="s">
        <v>79</v>
      </c>
      <c r="C14" s="16"/>
      <c r="D14" s="76">
        <v>44074</v>
      </c>
      <c r="E14" s="77" t="s">
        <v>175</v>
      </c>
      <c r="F14" s="144"/>
      <c r="G14" s="13">
        <v>240</v>
      </c>
      <c r="H14" s="14"/>
      <c r="I14" s="15">
        <f t="shared" si="2"/>
        <v>488.44</v>
      </c>
      <c r="J14" s="74" t="s">
        <v>273</v>
      </c>
      <c r="K14" s="20">
        <f t="shared" si="3"/>
        <v>7771</v>
      </c>
      <c r="L14" s="74" t="str">
        <f>VLOOKUP($J14,'2 CODIFICATION'!A$5:B$17,2,"FAUX")</f>
        <v>ADMINIST ET FONCT</v>
      </c>
      <c r="M14" s="74" t="str">
        <f>VLOOKUP($K14,'2 CODIFICATION'!D$8:E$64,2,"FAUX")</f>
        <v>Dons et participations à l"association</v>
      </c>
      <c r="N14" s="142">
        <v>777100</v>
      </c>
      <c r="O14" s="14">
        <f t="shared" si="0"/>
        <v>240</v>
      </c>
      <c r="P14" s="74">
        <f t="shared" si="1"/>
        <v>2020</v>
      </c>
      <c r="Q14" s="11" t="str">
        <f>VLOOKUP($N14,'2 CODIFICATION'!$G$5:$L$71,3,FALSE)</f>
        <v>Dons et autres mises à dispositions gratuites</v>
      </c>
      <c r="R14" s="53" t="str">
        <f>VLOOKUP($N14,'2 CODIFICATION'!$G$5:$L$71,4,FALSE)</f>
        <v>pdts</v>
      </c>
      <c r="S14" s="53">
        <f>VLOOKUP($N14,'2 CODIFICATION'!$G$5:$L$71,5,FALSE)</f>
        <v>77</v>
      </c>
      <c r="T14" s="11" t="str">
        <f>VLOOKUP($N14,'2 CODIFICATION'!$G$5:$L$71,6,FALSE)</f>
        <v>Produits exceptionnels</v>
      </c>
    </row>
    <row r="15" spans="1:20" ht="15" hidden="1" customHeight="1">
      <c r="A15" s="72" t="s">
        <v>170</v>
      </c>
      <c r="B15" s="29" t="s">
        <v>79</v>
      </c>
      <c r="C15" s="16"/>
      <c r="D15" s="76">
        <v>44078</v>
      </c>
      <c r="E15" s="16" t="s">
        <v>8</v>
      </c>
      <c r="F15" s="145"/>
      <c r="G15" s="13"/>
      <c r="H15" s="14">
        <v>32.03</v>
      </c>
      <c r="I15" s="15">
        <f t="shared" si="2"/>
        <v>456.40999999999997</v>
      </c>
      <c r="J15" s="74" t="s">
        <v>273</v>
      </c>
      <c r="K15" s="20">
        <f t="shared" si="3"/>
        <v>6160</v>
      </c>
      <c r="L15" s="74" t="str">
        <f>VLOOKUP($J15,'2 CODIFICATION'!A$5:B$17,2,"FAUX")</f>
        <v>ADMINIST ET FONCT</v>
      </c>
      <c r="M15" s="74" t="str">
        <f>VLOOKUP($K15,'2 CODIFICATION'!D$8:E$64,2,"FAUX")</f>
        <v>Assurance RC</v>
      </c>
      <c r="N15" s="45">
        <v>616000</v>
      </c>
      <c r="O15" s="14">
        <f t="shared" si="0"/>
        <v>-32.03</v>
      </c>
      <c r="P15" s="74">
        <f t="shared" si="1"/>
        <v>2020</v>
      </c>
      <c r="Q15" s="11" t="str">
        <f>VLOOKUP($N15,'2 CODIFICATION'!$G$5:$L$71,3,FALSE)</f>
        <v>Primes d'assurance</v>
      </c>
      <c r="R15" s="53" t="str">
        <f>VLOOKUP($N15,'2 CODIFICATION'!$G$5:$L$71,4,FALSE)</f>
        <v>chges</v>
      </c>
      <c r="S15" s="53">
        <f>VLOOKUP($N15,'2 CODIFICATION'!$G$5:$L$71,5,FALSE)</f>
        <v>61</v>
      </c>
      <c r="T15" s="11" t="str">
        <f>VLOOKUP($N15,'2 CODIFICATION'!$G$5:$L$71,6,FALSE)</f>
        <v>Services extérieurs</v>
      </c>
    </row>
    <row r="16" spans="1:20" ht="15" hidden="1" customHeight="1">
      <c r="A16" s="72" t="s">
        <v>170</v>
      </c>
      <c r="B16" s="29" t="s">
        <v>79</v>
      </c>
      <c r="C16" s="16"/>
      <c r="D16" s="76">
        <v>44091</v>
      </c>
      <c r="E16" s="16" t="s">
        <v>5</v>
      </c>
      <c r="F16" s="145"/>
      <c r="G16" s="13"/>
      <c r="H16" s="14">
        <v>360</v>
      </c>
      <c r="I16" s="15">
        <f t="shared" si="2"/>
        <v>96.409999999999968</v>
      </c>
      <c r="J16" s="74" t="s">
        <v>273</v>
      </c>
      <c r="K16" s="20">
        <f t="shared" si="3"/>
        <v>6261</v>
      </c>
      <c r="L16" s="74" t="str">
        <f>VLOOKUP($J16,'2 CODIFICATION'!A$5:B$17,2,"FAUX")</f>
        <v>ADMINIST ET FONCT</v>
      </c>
      <c r="M16" s="74" t="str">
        <f>VLOOKUP($K16,'2 CODIFICATION'!D$8:E$64,2,"FAUX")</f>
        <v>Frais d'envoi</v>
      </c>
      <c r="N16" s="45">
        <v>626100</v>
      </c>
      <c r="O16" s="14">
        <f t="shared" si="0"/>
        <v>-360</v>
      </c>
      <c r="P16" s="74">
        <f t="shared" si="1"/>
        <v>2020</v>
      </c>
      <c r="Q16" s="11" t="str">
        <f>VLOOKUP($N16,'2 CODIFICATION'!$G$5:$L$71,3,FALSE)</f>
        <v>Frais postaux</v>
      </c>
      <c r="R16" s="53" t="str">
        <f>VLOOKUP($N16,'2 CODIFICATION'!$G$5:$L$71,4,FALSE)</f>
        <v>chges</v>
      </c>
      <c r="S16" s="53">
        <f>VLOOKUP($N16,'2 CODIFICATION'!$G$5:$L$71,5,FALSE)</f>
        <v>62</v>
      </c>
      <c r="T16" s="11" t="str">
        <f>VLOOKUP($N16,'2 CODIFICATION'!$G$5:$L$71,6,FALSE)</f>
        <v>Autres services extérieurs</v>
      </c>
    </row>
    <row r="17" spans="1:20" ht="15" hidden="1" customHeight="1">
      <c r="A17" s="72" t="s">
        <v>170</v>
      </c>
      <c r="B17" s="29" t="s">
        <v>79</v>
      </c>
      <c r="C17" s="12"/>
      <c r="D17" s="76">
        <v>44088</v>
      </c>
      <c r="E17" s="12" t="s">
        <v>25</v>
      </c>
      <c r="F17" s="111"/>
      <c r="G17" s="13"/>
      <c r="H17" s="14">
        <v>27.84</v>
      </c>
      <c r="I17" s="15">
        <f t="shared" si="2"/>
        <v>68.569999999999965</v>
      </c>
      <c r="J17" s="74" t="s">
        <v>273</v>
      </c>
      <c r="K17" s="20">
        <f t="shared" si="3"/>
        <v>6261</v>
      </c>
      <c r="L17" s="74" t="str">
        <f>VLOOKUP($J17,'2 CODIFICATION'!A$5:B$17,2,"FAUX")</f>
        <v>ADMINIST ET FONCT</v>
      </c>
      <c r="M17" s="74" t="str">
        <f>VLOOKUP($K17,'2 CODIFICATION'!D$8:E$64,2,"FAUX")</f>
        <v>Frais d'envoi</v>
      </c>
      <c r="N17" s="45">
        <v>626100</v>
      </c>
      <c r="O17" s="14">
        <f t="shared" si="0"/>
        <v>-27.84</v>
      </c>
      <c r="P17" s="74">
        <f t="shared" si="1"/>
        <v>2020</v>
      </c>
      <c r="Q17" s="11" t="str">
        <f>VLOOKUP($N17,'2 CODIFICATION'!$G$5:$L$71,3,FALSE)</f>
        <v>Frais postaux</v>
      </c>
      <c r="R17" s="53" t="str">
        <f>VLOOKUP($N17,'2 CODIFICATION'!$G$5:$L$71,4,FALSE)</f>
        <v>chges</v>
      </c>
      <c r="S17" s="53">
        <f>VLOOKUP($N17,'2 CODIFICATION'!$G$5:$L$71,5,FALSE)</f>
        <v>62</v>
      </c>
      <c r="T17" s="11" t="str">
        <f>VLOOKUP($N17,'2 CODIFICATION'!$G$5:$L$71,6,FALSE)</f>
        <v>Autres services extérieurs</v>
      </c>
    </row>
    <row r="18" spans="1:20" ht="15" hidden="1" customHeight="1">
      <c r="A18" s="72" t="s">
        <v>170</v>
      </c>
      <c r="B18" s="29" t="s">
        <v>79</v>
      </c>
      <c r="C18" s="12"/>
      <c r="D18" s="76">
        <v>44088</v>
      </c>
      <c r="E18" s="12" t="s">
        <v>6</v>
      </c>
      <c r="F18" s="111"/>
      <c r="G18" s="13"/>
      <c r="H18" s="14">
        <v>20.32</v>
      </c>
      <c r="I18" s="15">
        <f t="shared" si="2"/>
        <v>48.249999999999964</v>
      </c>
      <c r="J18" s="74" t="s">
        <v>273</v>
      </c>
      <c r="K18" s="20">
        <f t="shared" si="3"/>
        <v>6064</v>
      </c>
      <c r="L18" s="74" t="str">
        <f>VLOOKUP($J18,'2 CODIFICATION'!A$5:B$17,2,"FAUX")</f>
        <v>ADMINIST ET FONCT</v>
      </c>
      <c r="M18" s="74" t="str">
        <f>VLOOKUP($K18,'2 CODIFICATION'!D$8:E$64,2,"FAUX")</f>
        <v>Frais de fonctionnement et fourniture</v>
      </c>
      <c r="N18" s="45">
        <v>606400</v>
      </c>
      <c r="O18" s="14">
        <f t="shared" si="0"/>
        <v>-20.32</v>
      </c>
      <c r="P18" s="74">
        <f t="shared" si="1"/>
        <v>2020</v>
      </c>
      <c r="Q18" s="11" t="str">
        <f>VLOOKUP($N18,'2 CODIFICATION'!$G$5:$L$71,3,FALSE)</f>
        <v>Fournitures administratives</v>
      </c>
      <c r="R18" s="53" t="str">
        <f>VLOOKUP($N18,'2 CODIFICATION'!$G$5:$L$71,4,FALSE)</f>
        <v>chges</v>
      </c>
      <c r="S18" s="53">
        <f>VLOOKUP($N18,'2 CODIFICATION'!$G$5:$L$71,5,FALSE)</f>
        <v>60</v>
      </c>
      <c r="T18" s="11" t="str">
        <f>VLOOKUP($N18,'2 CODIFICATION'!$G$5:$L$71,6,FALSE)</f>
        <v>Achat</v>
      </c>
    </row>
    <row r="19" spans="1:20" ht="15" hidden="1" customHeight="1">
      <c r="A19" s="72" t="s">
        <v>170</v>
      </c>
      <c r="B19" s="29" t="s">
        <v>79</v>
      </c>
      <c r="C19" s="12"/>
      <c r="D19" s="76">
        <v>44091</v>
      </c>
      <c r="E19" s="12" t="s">
        <v>24</v>
      </c>
      <c r="F19" s="111"/>
      <c r="G19" s="13">
        <v>100</v>
      </c>
      <c r="H19" s="14"/>
      <c r="I19" s="15">
        <f t="shared" si="2"/>
        <v>148.24999999999997</v>
      </c>
      <c r="J19" s="74" t="s">
        <v>273</v>
      </c>
      <c r="K19" s="20">
        <f t="shared" si="3"/>
        <v>7581</v>
      </c>
      <c r="L19" s="74" t="str">
        <f>VLOOKUP($J19,'2 CODIFICATION'!A$5:B$17,2,"FAUX")</f>
        <v>ADMINIST ET FONCT</v>
      </c>
      <c r="M19" s="74" t="str">
        <f>VLOOKUP($K19,'2 CODIFICATION'!D$8:E$64,2,"FAUX")</f>
        <v>Adhésions association</v>
      </c>
      <c r="N19" s="45">
        <v>758100</v>
      </c>
      <c r="O19" s="14">
        <f t="shared" si="0"/>
        <v>100</v>
      </c>
      <c r="P19" s="74">
        <f t="shared" si="1"/>
        <v>2020</v>
      </c>
      <c r="Q19" s="11" t="str">
        <f>VLOOKUP($N19,'2 CODIFICATION'!$G$5:$L$71,3,FALSE)</f>
        <v>Cotisations individuelles et associatives</v>
      </c>
      <c r="R19" s="53" t="str">
        <f>VLOOKUP($N19,'2 CODIFICATION'!$G$5:$L$71,4,FALSE)</f>
        <v>pdts</v>
      </c>
      <c r="S19" s="53">
        <f>VLOOKUP($N19,'2 CODIFICATION'!$G$5:$L$71,5,FALSE)</f>
        <v>75</v>
      </c>
      <c r="T19" s="11" t="str">
        <f>VLOOKUP($N19,'2 CODIFICATION'!$G$5:$L$71,6,FALSE)</f>
        <v>Autres produits de gestion courante</v>
      </c>
    </row>
    <row r="20" spans="1:20" ht="15" hidden="1" customHeight="1">
      <c r="A20" s="72" t="s">
        <v>170</v>
      </c>
      <c r="B20" s="29" t="s">
        <v>79</v>
      </c>
      <c r="C20" s="12"/>
      <c r="D20" s="76">
        <v>44093</v>
      </c>
      <c r="E20" s="12" t="s">
        <v>7</v>
      </c>
      <c r="F20" s="111"/>
      <c r="G20" s="13"/>
      <c r="H20" s="14">
        <v>18.059999999999999</v>
      </c>
      <c r="I20" s="15">
        <f t="shared" si="2"/>
        <v>130.18999999999997</v>
      </c>
      <c r="J20" s="74" t="s">
        <v>273</v>
      </c>
      <c r="K20" s="20">
        <f t="shared" si="3"/>
        <v>6064</v>
      </c>
      <c r="L20" s="74" t="str">
        <f>VLOOKUP($J20,'2 CODIFICATION'!A$5:B$17,2,"FAUX")</f>
        <v>ADMINIST ET FONCT</v>
      </c>
      <c r="M20" s="74" t="str">
        <f>VLOOKUP($K20,'2 CODIFICATION'!D$8:E$64,2,"FAUX")</f>
        <v>Frais de fonctionnement et fourniture</v>
      </c>
      <c r="N20" s="45">
        <v>606400</v>
      </c>
      <c r="O20" s="14">
        <f t="shared" si="0"/>
        <v>-18.059999999999999</v>
      </c>
      <c r="P20" s="74">
        <f t="shared" si="1"/>
        <v>2020</v>
      </c>
      <c r="Q20" s="11" t="str">
        <f>VLOOKUP($N20,'2 CODIFICATION'!$G$5:$L$71,3,FALSE)</f>
        <v>Fournitures administratives</v>
      </c>
      <c r="R20" s="53" t="str">
        <f>VLOOKUP($N20,'2 CODIFICATION'!$G$5:$L$71,4,FALSE)</f>
        <v>chges</v>
      </c>
      <c r="S20" s="53">
        <f>VLOOKUP($N20,'2 CODIFICATION'!$G$5:$L$71,5,FALSE)</f>
        <v>60</v>
      </c>
      <c r="T20" s="11" t="str">
        <f>VLOOKUP($N20,'2 CODIFICATION'!$G$5:$L$71,6,FALSE)</f>
        <v>Achat</v>
      </c>
    </row>
    <row r="21" spans="1:20" ht="15" hidden="1" customHeight="1">
      <c r="A21" s="72" t="s">
        <v>170</v>
      </c>
      <c r="B21" s="29" t="s">
        <v>79</v>
      </c>
      <c r="C21" s="12"/>
      <c r="D21" s="76">
        <v>44102</v>
      </c>
      <c r="E21" s="12" t="s">
        <v>10</v>
      </c>
      <c r="F21" s="111"/>
      <c r="G21" s="13"/>
      <c r="H21" s="14">
        <v>11.9</v>
      </c>
      <c r="I21" s="15">
        <f t="shared" si="2"/>
        <v>118.28999999999996</v>
      </c>
      <c r="J21" s="74" t="s">
        <v>273</v>
      </c>
      <c r="K21" s="20">
        <f t="shared" si="3"/>
        <v>6064</v>
      </c>
      <c r="L21" s="74" t="str">
        <f>VLOOKUP($J21,'2 CODIFICATION'!A$5:B$17,2,"FAUX")</f>
        <v>ADMINIST ET FONCT</v>
      </c>
      <c r="M21" s="74" t="str">
        <f>VLOOKUP($K21,'2 CODIFICATION'!D$8:E$64,2,"FAUX")</f>
        <v>Frais de fonctionnement et fourniture</v>
      </c>
      <c r="N21" s="45">
        <v>606400</v>
      </c>
      <c r="O21" s="14">
        <f t="shared" si="0"/>
        <v>-11.9</v>
      </c>
      <c r="P21" s="74">
        <f t="shared" si="1"/>
        <v>2020</v>
      </c>
      <c r="Q21" s="11" t="str">
        <f>VLOOKUP($N21,'2 CODIFICATION'!$G$5:$L$71,3,FALSE)</f>
        <v>Fournitures administratives</v>
      </c>
      <c r="R21" s="53" t="str">
        <f>VLOOKUP($N21,'2 CODIFICATION'!$G$5:$L$71,4,FALSE)</f>
        <v>chges</v>
      </c>
      <c r="S21" s="53">
        <f>VLOOKUP($N21,'2 CODIFICATION'!$G$5:$L$71,5,FALSE)</f>
        <v>60</v>
      </c>
      <c r="T21" s="11" t="str">
        <f>VLOOKUP($N21,'2 CODIFICATION'!$G$5:$L$71,6,FALSE)</f>
        <v>Achat</v>
      </c>
    </row>
    <row r="22" spans="1:20" ht="15" hidden="1" customHeight="1">
      <c r="A22" s="72" t="s">
        <v>170</v>
      </c>
      <c r="B22" s="29" t="s">
        <v>79</v>
      </c>
      <c r="C22" s="12"/>
      <c r="D22" s="76">
        <v>44121</v>
      </c>
      <c r="E22" s="16" t="s">
        <v>20</v>
      </c>
      <c r="F22" s="145"/>
      <c r="G22" s="13"/>
      <c r="H22" s="14">
        <v>240</v>
      </c>
      <c r="I22" s="15">
        <f t="shared" si="2"/>
        <v>-121.71000000000004</v>
      </c>
      <c r="J22" s="74" t="s">
        <v>273</v>
      </c>
      <c r="K22" s="20">
        <f t="shared" si="3"/>
        <v>6040</v>
      </c>
      <c r="L22" s="74" t="str">
        <f>VLOOKUP($J22,'2 CODIFICATION'!A$5:B$17,2,"FAUX")</f>
        <v>ADMINIST ET FONCT</v>
      </c>
      <c r="M22" s="74" t="str">
        <f>VLOOKUP($K22,'2 CODIFICATION'!D$8:E$64,2,"FAUX")</f>
        <v>prestations études</v>
      </c>
      <c r="N22" s="24">
        <v>604000</v>
      </c>
      <c r="O22" s="14">
        <f t="shared" si="0"/>
        <v>-240</v>
      </c>
      <c r="P22" s="74">
        <f t="shared" si="1"/>
        <v>2020</v>
      </c>
      <c r="Q22" s="11" t="str">
        <f>VLOOKUP($N22,'2 CODIFICATION'!$G$5:$L$71,3,FALSE)</f>
        <v>Prestations de services (Hydrogéologue Nokbak)</v>
      </c>
      <c r="R22" s="53" t="str">
        <f>VLOOKUP($N22,'2 CODIFICATION'!$G$5:$L$71,4,FALSE)</f>
        <v>chges</v>
      </c>
      <c r="S22" s="53">
        <f>VLOOKUP($N22,'2 CODIFICATION'!$G$5:$L$71,5,FALSE)</f>
        <v>60</v>
      </c>
      <c r="T22" s="11" t="str">
        <f>VLOOKUP($N22,'2 CODIFICATION'!$G$5:$L$71,6,FALSE)</f>
        <v>Achat</v>
      </c>
    </row>
    <row r="23" spans="1:20" ht="15" hidden="1" customHeight="1">
      <c r="A23" s="72" t="s">
        <v>170</v>
      </c>
      <c r="B23" s="29" t="s">
        <v>79</v>
      </c>
      <c r="C23" s="12"/>
      <c r="D23" s="76">
        <v>44130</v>
      </c>
      <c r="E23" s="12" t="s">
        <v>13</v>
      </c>
      <c r="F23" s="111"/>
      <c r="G23" s="13">
        <v>50</v>
      </c>
      <c r="H23" s="14"/>
      <c r="I23" s="15">
        <f t="shared" si="2"/>
        <v>-71.710000000000036</v>
      </c>
      <c r="J23" s="74" t="s">
        <v>273</v>
      </c>
      <c r="K23" s="20">
        <f t="shared" si="3"/>
        <v>7581</v>
      </c>
      <c r="L23" s="74" t="str">
        <f>VLOOKUP($J23,'2 CODIFICATION'!A$5:B$17,2,"FAUX")</f>
        <v>ADMINIST ET FONCT</v>
      </c>
      <c r="M23" s="74" t="str">
        <f>VLOOKUP($K23,'2 CODIFICATION'!D$8:E$64,2,"FAUX")</f>
        <v>Adhésions association</v>
      </c>
      <c r="N23" s="45">
        <v>758100</v>
      </c>
      <c r="O23" s="14">
        <f t="shared" si="0"/>
        <v>50</v>
      </c>
      <c r="P23" s="74">
        <f t="shared" si="1"/>
        <v>2020</v>
      </c>
      <c r="Q23" s="11" t="str">
        <f>VLOOKUP($N23,'2 CODIFICATION'!$G$5:$L$71,3,FALSE)</f>
        <v>Cotisations individuelles et associatives</v>
      </c>
      <c r="R23" s="53" t="str">
        <f>VLOOKUP($N23,'2 CODIFICATION'!$G$5:$L$71,4,FALSE)</f>
        <v>pdts</v>
      </c>
      <c r="S23" s="53">
        <f>VLOOKUP($N23,'2 CODIFICATION'!$G$5:$L$71,5,FALSE)</f>
        <v>75</v>
      </c>
      <c r="T23" s="11" t="str">
        <f>VLOOKUP($N23,'2 CODIFICATION'!$G$5:$L$71,6,FALSE)</f>
        <v>Autres produits de gestion courante</v>
      </c>
    </row>
    <row r="24" spans="1:20" ht="15" hidden="1" customHeight="1">
      <c r="A24" s="72" t="s">
        <v>170</v>
      </c>
      <c r="B24" s="29" t="s">
        <v>79</v>
      </c>
      <c r="C24" s="12"/>
      <c r="D24" s="76">
        <v>44130</v>
      </c>
      <c r="E24" s="12" t="s">
        <v>14</v>
      </c>
      <c r="F24" s="111"/>
      <c r="G24" s="13">
        <v>50</v>
      </c>
      <c r="H24" s="14"/>
      <c r="I24" s="15">
        <f t="shared" si="2"/>
        <v>-21.710000000000036</v>
      </c>
      <c r="J24" s="74" t="s">
        <v>273</v>
      </c>
      <c r="K24" s="20">
        <f t="shared" si="3"/>
        <v>7581</v>
      </c>
      <c r="L24" s="74" t="str">
        <f>VLOOKUP($J24,'2 CODIFICATION'!A$5:B$17,2,"FAUX")</f>
        <v>ADMINIST ET FONCT</v>
      </c>
      <c r="M24" s="74" t="str">
        <f>VLOOKUP($K24,'2 CODIFICATION'!D$8:E$64,2,"FAUX")</f>
        <v>Adhésions association</v>
      </c>
      <c r="N24" s="45">
        <v>758100</v>
      </c>
      <c r="O24" s="14">
        <f t="shared" si="0"/>
        <v>50</v>
      </c>
      <c r="P24" s="74">
        <f t="shared" si="1"/>
        <v>2020</v>
      </c>
      <c r="Q24" s="11" t="str">
        <f>VLOOKUP($N24,'2 CODIFICATION'!$G$5:$L$71,3,FALSE)</f>
        <v>Cotisations individuelles et associatives</v>
      </c>
      <c r="R24" s="53" t="str">
        <f>VLOOKUP($N24,'2 CODIFICATION'!$G$5:$L$71,4,FALSE)</f>
        <v>pdts</v>
      </c>
      <c r="S24" s="53">
        <f>VLOOKUP($N24,'2 CODIFICATION'!$G$5:$L$71,5,FALSE)</f>
        <v>75</v>
      </c>
      <c r="T24" s="11" t="str">
        <f>VLOOKUP($N24,'2 CODIFICATION'!$G$5:$L$71,6,FALSE)</f>
        <v>Autres produits de gestion courante</v>
      </c>
    </row>
    <row r="25" spans="1:20" ht="15" hidden="1" customHeight="1">
      <c r="A25" s="72" t="s">
        <v>170</v>
      </c>
      <c r="B25" s="29" t="s">
        <v>79</v>
      </c>
      <c r="C25" s="12"/>
      <c r="D25" s="76">
        <v>44130</v>
      </c>
      <c r="E25" s="12" t="s">
        <v>15</v>
      </c>
      <c r="F25" s="111"/>
      <c r="G25" s="13">
        <v>20</v>
      </c>
      <c r="H25" s="14"/>
      <c r="I25" s="15">
        <f t="shared" si="2"/>
        <v>-1.7100000000000364</v>
      </c>
      <c r="J25" s="74" t="s">
        <v>273</v>
      </c>
      <c r="K25" s="20">
        <f t="shared" si="3"/>
        <v>7581</v>
      </c>
      <c r="L25" s="74" t="str">
        <f>VLOOKUP($J25,'2 CODIFICATION'!A$5:B$17,2,"FAUX")</f>
        <v>ADMINIST ET FONCT</v>
      </c>
      <c r="M25" s="74" t="str">
        <f>VLOOKUP($K25,'2 CODIFICATION'!D$8:E$64,2,"FAUX")</f>
        <v>Adhésions association</v>
      </c>
      <c r="N25" s="45">
        <v>758100</v>
      </c>
      <c r="O25" s="14">
        <f t="shared" si="0"/>
        <v>20</v>
      </c>
      <c r="P25" s="74">
        <f t="shared" si="1"/>
        <v>2020</v>
      </c>
      <c r="Q25" s="11" t="str">
        <f>VLOOKUP($N25,'2 CODIFICATION'!$G$5:$L$71,3,FALSE)</f>
        <v>Cotisations individuelles et associatives</v>
      </c>
      <c r="R25" s="53" t="str">
        <f>VLOOKUP($N25,'2 CODIFICATION'!$G$5:$L$71,4,FALSE)</f>
        <v>pdts</v>
      </c>
      <c r="S25" s="53">
        <f>VLOOKUP($N25,'2 CODIFICATION'!$G$5:$L$71,5,FALSE)</f>
        <v>75</v>
      </c>
      <c r="T25" s="11" t="str">
        <f>VLOOKUP($N25,'2 CODIFICATION'!$G$5:$L$71,6,FALSE)</f>
        <v>Autres produits de gestion courante</v>
      </c>
    </row>
    <row r="26" spans="1:20" ht="15" hidden="1" customHeight="1">
      <c r="A26" s="72" t="s">
        <v>170</v>
      </c>
      <c r="B26" s="29" t="s">
        <v>79</v>
      </c>
      <c r="C26" s="12"/>
      <c r="D26" s="76">
        <v>44130</v>
      </c>
      <c r="E26" s="12" t="s">
        <v>16</v>
      </c>
      <c r="F26" s="111"/>
      <c r="G26" s="13">
        <v>20</v>
      </c>
      <c r="H26" s="14"/>
      <c r="I26" s="15">
        <f t="shared" si="2"/>
        <v>18.289999999999964</v>
      </c>
      <c r="J26" s="74" t="s">
        <v>273</v>
      </c>
      <c r="K26" s="20">
        <f t="shared" si="3"/>
        <v>7581</v>
      </c>
      <c r="L26" s="74" t="str">
        <f>VLOOKUP($J26,'2 CODIFICATION'!A$5:B$17,2,"FAUX")</f>
        <v>ADMINIST ET FONCT</v>
      </c>
      <c r="M26" s="74" t="str">
        <f>VLOOKUP($K26,'2 CODIFICATION'!D$8:E$64,2,"FAUX")</f>
        <v>Adhésions association</v>
      </c>
      <c r="N26" s="45">
        <v>758100</v>
      </c>
      <c r="O26" s="14">
        <f t="shared" si="0"/>
        <v>20</v>
      </c>
      <c r="P26" s="74">
        <f t="shared" si="1"/>
        <v>2020</v>
      </c>
      <c r="Q26" s="11" t="str">
        <f>VLOOKUP($N26,'2 CODIFICATION'!$G$5:$L$71,3,FALSE)</f>
        <v>Cotisations individuelles et associatives</v>
      </c>
      <c r="R26" s="53" t="str">
        <f>VLOOKUP($N26,'2 CODIFICATION'!$G$5:$L$71,4,FALSE)</f>
        <v>pdts</v>
      </c>
      <c r="S26" s="53">
        <f>VLOOKUP($N26,'2 CODIFICATION'!$G$5:$L$71,5,FALSE)</f>
        <v>75</v>
      </c>
      <c r="T26" s="11" t="str">
        <f>VLOOKUP($N26,'2 CODIFICATION'!$G$5:$L$71,6,FALSE)</f>
        <v>Autres produits de gestion courante</v>
      </c>
    </row>
    <row r="27" spans="1:20" ht="15" hidden="1" customHeight="1">
      <c r="A27" s="72" t="s">
        <v>170</v>
      </c>
      <c r="B27" s="29" t="s">
        <v>79</v>
      </c>
      <c r="C27" s="12"/>
      <c r="D27" s="76">
        <v>44130</v>
      </c>
      <c r="E27" s="12" t="s">
        <v>17</v>
      </c>
      <c r="F27" s="111"/>
      <c r="G27" s="13">
        <v>20</v>
      </c>
      <c r="H27" s="14"/>
      <c r="I27" s="15">
        <f t="shared" si="2"/>
        <v>38.289999999999964</v>
      </c>
      <c r="J27" s="74" t="s">
        <v>273</v>
      </c>
      <c r="K27" s="20">
        <f t="shared" si="3"/>
        <v>7581</v>
      </c>
      <c r="L27" s="74" t="str">
        <f>VLOOKUP($J27,'2 CODIFICATION'!A$5:B$17,2,"FAUX")</f>
        <v>ADMINIST ET FONCT</v>
      </c>
      <c r="M27" s="74" t="str">
        <f>VLOOKUP($K27,'2 CODIFICATION'!D$8:E$64,2,"FAUX")</f>
        <v>Adhésions association</v>
      </c>
      <c r="N27" s="45">
        <v>758100</v>
      </c>
      <c r="O27" s="14">
        <f t="shared" si="0"/>
        <v>20</v>
      </c>
      <c r="P27" s="74">
        <f t="shared" si="1"/>
        <v>2020</v>
      </c>
      <c r="Q27" s="11" t="str">
        <f>VLOOKUP($N27,'2 CODIFICATION'!$G$5:$L$71,3,FALSE)</f>
        <v>Cotisations individuelles et associatives</v>
      </c>
      <c r="R27" s="53" t="str">
        <f>VLOOKUP($N27,'2 CODIFICATION'!$G$5:$L$71,4,FALSE)</f>
        <v>pdts</v>
      </c>
      <c r="S27" s="53">
        <f>VLOOKUP($N27,'2 CODIFICATION'!$G$5:$L$71,5,FALSE)</f>
        <v>75</v>
      </c>
      <c r="T27" s="11" t="str">
        <f>VLOOKUP($N27,'2 CODIFICATION'!$G$5:$L$71,6,FALSE)</f>
        <v>Autres produits de gestion courante</v>
      </c>
    </row>
    <row r="28" spans="1:20" ht="15" hidden="1" customHeight="1">
      <c r="A28" s="72" t="s">
        <v>170</v>
      </c>
      <c r="B28" s="29" t="s">
        <v>79</v>
      </c>
      <c r="C28" s="12"/>
      <c r="D28" s="76">
        <v>44130</v>
      </c>
      <c r="E28" s="12" t="s">
        <v>19</v>
      </c>
      <c r="F28" s="111"/>
      <c r="G28" s="13">
        <v>20</v>
      </c>
      <c r="H28" s="14"/>
      <c r="I28" s="15">
        <f t="shared" si="2"/>
        <v>58.289999999999964</v>
      </c>
      <c r="J28" s="74" t="s">
        <v>273</v>
      </c>
      <c r="K28" s="20">
        <f t="shared" si="3"/>
        <v>7581</v>
      </c>
      <c r="L28" s="74" t="str">
        <f>VLOOKUP($J28,'2 CODIFICATION'!A$5:B$17,2,"FAUX")</f>
        <v>ADMINIST ET FONCT</v>
      </c>
      <c r="M28" s="74" t="str">
        <f>VLOOKUP($K28,'2 CODIFICATION'!D$8:E$64,2,"FAUX")</f>
        <v>Adhésions association</v>
      </c>
      <c r="N28" s="45">
        <v>758100</v>
      </c>
      <c r="O28" s="14">
        <f t="shared" si="0"/>
        <v>20</v>
      </c>
      <c r="P28" s="74">
        <f t="shared" si="1"/>
        <v>2020</v>
      </c>
      <c r="Q28" s="11" t="str">
        <f>VLOOKUP($N28,'2 CODIFICATION'!$G$5:$L$71,3,FALSE)</f>
        <v>Cotisations individuelles et associatives</v>
      </c>
      <c r="R28" s="53" t="str">
        <f>VLOOKUP($N28,'2 CODIFICATION'!$G$5:$L$71,4,FALSE)</f>
        <v>pdts</v>
      </c>
      <c r="S28" s="53">
        <f>VLOOKUP($N28,'2 CODIFICATION'!$G$5:$L$71,5,FALSE)</f>
        <v>75</v>
      </c>
      <c r="T28" s="11" t="str">
        <f>VLOOKUP($N28,'2 CODIFICATION'!$G$5:$L$71,6,FALSE)</f>
        <v>Autres produits de gestion courante</v>
      </c>
    </row>
    <row r="29" spans="1:20" ht="15" hidden="1" customHeight="1">
      <c r="A29" s="72" t="s">
        <v>170</v>
      </c>
      <c r="B29" s="29" t="s">
        <v>79</v>
      </c>
      <c r="C29" s="12"/>
      <c r="D29" s="76">
        <v>44130</v>
      </c>
      <c r="E29" s="12" t="s">
        <v>18</v>
      </c>
      <c r="F29" s="111"/>
      <c r="G29" s="13">
        <v>20</v>
      </c>
      <c r="H29" s="14"/>
      <c r="I29" s="15">
        <f t="shared" si="2"/>
        <v>78.289999999999964</v>
      </c>
      <c r="J29" s="74" t="s">
        <v>273</v>
      </c>
      <c r="K29" s="20">
        <f t="shared" si="3"/>
        <v>7581</v>
      </c>
      <c r="L29" s="74" t="str">
        <f>VLOOKUP($J29,'2 CODIFICATION'!A$5:B$17,2,"FAUX")</f>
        <v>ADMINIST ET FONCT</v>
      </c>
      <c r="M29" s="74" t="str">
        <f>VLOOKUP($K29,'2 CODIFICATION'!D$8:E$64,2,"FAUX")</f>
        <v>Adhésions association</v>
      </c>
      <c r="N29" s="45">
        <v>758100</v>
      </c>
      <c r="O29" s="14">
        <f t="shared" si="0"/>
        <v>20</v>
      </c>
      <c r="P29" s="74">
        <f t="shared" si="1"/>
        <v>2020</v>
      </c>
      <c r="Q29" s="11" t="str">
        <f>VLOOKUP($N29,'2 CODIFICATION'!$G$5:$L$71,3,FALSE)</f>
        <v>Cotisations individuelles et associatives</v>
      </c>
      <c r="R29" s="53" t="str">
        <f>VLOOKUP($N29,'2 CODIFICATION'!$G$5:$L$71,4,FALSE)</f>
        <v>pdts</v>
      </c>
      <c r="S29" s="53">
        <f>VLOOKUP($N29,'2 CODIFICATION'!$G$5:$L$71,5,FALSE)</f>
        <v>75</v>
      </c>
      <c r="T29" s="11" t="str">
        <f>VLOOKUP($N29,'2 CODIFICATION'!$G$5:$L$71,6,FALSE)</f>
        <v>Autres produits de gestion courante</v>
      </c>
    </row>
    <row r="30" spans="1:20" ht="15" hidden="1" customHeight="1">
      <c r="A30" s="72" t="s">
        <v>170</v>
      </c>
      <c r="B30" s="29" t="s">
        <v>79</v>
      </c>
      <c r="C30" s="12"/>
      <c r="D30" s="76">
        <v>44194</v>
      </c>
      <c r="E30" s="12" t="s">
        <v>21</v>
      </c>
      <c r="F30" s="111"/>
      <c r="G30" s="13">
        <v>50</v>
      </c>
      <c r="H30" s="14"/>
      <c r="I30" s="15">
        <f t="shared" si="2"/>
        <v>128.28999999999996</v>
      </c>
      <c r="J30" s="74" t="s">
        <v>273</v>
      </c>
      <c r="K30" s="20">
        <f t="shared" si="3"/>
        <v>7581</v>
      </c>
      <c r="L30" s="74" t="str">
        <f>VLOOKUP($J30,'2 CODIFICATION'!A$5:B$17,2,"FAUX")</f>
        <v>ADMINIST ET FONCT</v>
      </c>
      <c r="M30" s="74" t="str">
        <f>VLOOKUP($K30,'2 CODIFICATION'!D$8:E$64,2,"FAUX")</f>
        <v>Adhésions association</v>
      </c>
      <c r="N30" s="45">
        <v>758100</v>
      </c>
      <c r="O30" s="14">
        <f t="shared" si="0"/>
        <v>50</v>
      </c>
      <c r="P30" s="74">
        <f t="shared" si="1"/>
        <v>2020</v>
      </c>
      <c r="Q30" s="11" t="str">
        <f>VLOOKUP($N30,'2 CODIFICATION'!$G$5:$L$71,3,FALSE)</f>
        <v>Cotisations individuelles et associatives</v>
      </c>
      <c r="R30" s="53" t="str">
        <f>VLOOKUP($N30,'2 CODIFICATION'!$G$5:$L$71,4,FALSE)</f>
        <v>pdts</v>
      </c>
      <c r="S30" s="53">
        <f>VLOOKUP($N30,'2 CODIFICATION'!$G$5:$L$71,5,FALSE)</f>
        <v>75</v>
      </c>
      <c r="T30" s="11" t="str">
        <f>VLOOKUP($N30,'2 CODIFICATION'!$G$5:$L$71,6,FALSE)</f>
        <v>Autres produits de gestion courante</v>
      </c>
    </row>
    <row r="31" spans="1:20" ht="15" hidden="1" customHeight="1">
      <c r="A31" s="72" t="s">
        <v>170</v>
      </c>
      <c r="B31" s="29" t="s">
        <v>79</v>
      </c>
      <c r="C31" s="12"/>
      <c r="D31" s="76">
        <v>44175</v>
      </c>
      <c r="E31" s="17" t="s">
        <v>22</v>
      </c>
      <c r="F31" s="115"/>
      <c r="G31" s="13">
        <v>30</v>
      </c>
      <c r="H31" s="14"/>
      <c r="I31" s="15">
        <f t="shared" si="2"/>
        <v>158.28999999999996</v>
      </c>
      <c r="J31" s="74" t="s">
        <v>273</v>
      </c>
      <c r="K31" s="20">
        <f t="shared" si="3"/>
        <v>7581</v>
      </c>
      <c r="L31" s="74" t="str">
        <f>VLOOKUP($J31,'2 CODIFICATION'!A$5:B$17,2,"FAUX")</f>
        <v>ADMINIST ET FONCT</v>
      </c>
      <c r="M31" s="74" t="str">
        <f>VLOOKUP($K31,'2 CODIFICATION'!D$8:E$64,2,"FAUX")</f>
        <v>Adhésions association</v>
      </c>
      <c r="N31" s="45">
        <v>758100</v>
      </c>
      <c r="O31" s="14">
        <f t="shared" si="0"/>
        <v>30</v>
      </c>
      <c r="P31" s="74">
        <f t="shared" si="1"/>
        <v>2020</v>
      </c>
      <c r="Q31" s="11" t="str">
        <f>VLOOKUP($N31,'2 CODIFICATION'!$G$5:$L$71,3,FALSE)</f>
        <v>Cotisations individuelles et associatives</v>
      </c>
      <c r="R31" s="53" t="str">
        <f>VLOOKUP($N31,'2 CODIFICATION'!$G$5:$L$71,4,FALSE)</f>
        <v>pdts</v>
      </c>
      <c r="S31" s="53">
        <f>VLOOKUP($N31,'2 CODIFICATION'!$G$5:$L$71,5,FALSE)</f>
        <v>75</v>
      </c>
      <c r="T31" s="11" t="str">
        <f>VLOOKUP($N31,'2 CODIFICATION'!$G$5:$L$71,6,FALSE)</f>
        <v>Autres produits de gestion courante</v>
      </c>
    </row>
    <row r="32" spans="1:20" ht="15" hidden="1" customHeight="1">
      <c r="A32" s="72" t="s">
        <v>170</v>
      </c>
      <c r="B32" s="29" t="s">
        <v>79</v>
      </c>
      <c r="C32" s="12"/>
      <c r="D32" s="76">
        <v>44193</v>
      </c>
      <c r="E32" s="17" t="s">
        <v>23</v>
      </c>
      <c r="F32" s="115"/>
      <c r="G32" s="13">
        <v>30</v>
      </c>
      <c r="H32" s="14"/>
      <c r="I32" s="15">
        <f t="shared" si="2"/>
        <v>188.28999999999996</v>
      </c>
      <c r="J32" s="74" t="s">
        <v>273</v>
      </c>
      <c r="K32" s="20">
        <f t="shared" si="3"/>
        <v>7581</v>
      </c>
      <c r="L32" s="74" t="str">
        <f>VLOOKUP($J32,'2 CODIFICATION'!A$5:B$17,2,"FAUX")</f>
        <v>ADMINIST ET FONCT</v>
      </c>
      <c r="M32" s="74" t="str">
        <f>VLOOKUP($K32,'2 CODIFICATION'!D$8:E$64,2,"FAUX")</f>
        <v>Adhésions association</v>
      </c>
      <c r="N32" s="45">
        <v>758100</v>
      </c>
      <c r="O32" s="14">
        <f t="shared" si="0"/>
        <v>30</v>
      </c>
      <c r="P32" s="74">
        <f t="shared" si="1"/>
        <v>2020</v>
      </c>
      <c r="Q32" s="11" t="str">
        <f>VLOOKUP($N32,'2 CODIFICATION'!$G$5:$L$71,3,FALSE)</f>
        <v>Cotisations individuelles et associatives</v>
      </c>
      <c r="R32" s="53" t="str">
        <f>VLOOKUP($N32,'2 CODIFICATION'!$G$5:$L$71,4,FALSE)</f>
        <v>pdts</v>
      </c>
      <c r="S32" s="53">
        <f>VLOOKUP($N32,'2 CODIFICATION'!$G$5:$L$71,5,FALSE)</f>
        <v>75</v>
      </c>
      <c r="T32" s="11" t="str">
        <f>VLOOKUP($N32,'2 CODIFICATION'!$G$5:$L$71,6,FALSE)</f>
        <v>Autres produits de gestion courante</v>
      </c>
    </row>
    <row r="33" spans="1:20" ht="15" hidden="1" customHeight="1">
      <c r="A33" s="72" t="s">
        <v>170</v>
      </c>
      <c r="B33" s="29" t="s">
        <v>79</v>
      </c>
      <c r="C33" s="12"/>
      <c r="D33" s="76">
        <v>44195</v>
      </c>
      <c r="E33" s="12" t="s">
        <v>27</v>
      </c>
      <c r="F33" s="111"/>
      <c r="G33" s="13">
        <v>50</v>
      </c>
      <c r="H33" s="14"/>
      <c r="I33" s="15">
        <f t="shared" si="2"/>
        <v>238.28999999999996</v>
      </c>
      <c r="J33" s="74" t="s">
        <v>273</v>
      </c>
      <c r="K33" s="20">
        <f t="shared" si="3"/>
        <v>7581</v>
      </c>
      <c r="L33" s="74" t="str">
        <f>VLOOKUP($J33,'2 CODIFICATION'!A$5:B$17,2,"FAUX")</f>
        <v>ADMINIST ET FONCT</v>
      </c>
      <c r="M33" s="74" t="str">
        <f>VLOOKUP($K33,'2 CODIFICATION'!D$8:E$64,2,"FAUX")</f>
        <v>Adhésions association</v>
      </c>
      <c r="N33" s="45">
        <v>758100</v>
      </c>
      <c r="O33" s="14">
        <f t="shared" si="0"/>
        <v>50</v>
      </c>
      <c r="P33" s="74">
        <f t="shared" si="1"/>
        <v>2020</v>
      </c>
      <c r="Q33" s="11" t="str">
        <f>VLOOKUP($N33,'2 CODIFICATION'!$G$5:$L$71,3,FALSE)</f>
        <v>Cotisations individuelles et associatives</v>
      </c>
      <c r="R33" s="53" t="str">
        <f>VLOOKUP($N33,'2 CODIFICATION'!$G$5:$L$71,4,FALSE)</f>
        <v>pdts</v>
      </c>
      <c r="S33" s="53">
        <f>VLOOKUP($N33,'2 CODIFICATION'!$G$5:$L$71,5,FALSE)</f>
        <v>75</v>
      </c>
      <c r="T33" s="11" t="str">
        <f>VLOOKUP($N33,'2 CODIFICATION'!$G$5:$L$71,6,FALSE)</f>
        <v>Autres produits de gestion courante</v>
      </c>
    </row>
    <row r="34" spans="1:20" ht="15" hidden="1" customHeight="1">
      <c r="A34" s="72" t="s">
        <v>170</v>
      </c>
      <c r="B34" s="29" t="s">
        <v>79</v>
      </c>
      <c r="C34" s="12"/>
      <c r="D34" s="76">
        <v>44195</v>
      </c>
      <c r="E34" s="12" t="s">
        <v>28</v>
      </c>
      <c r="F34" s="111"/>
      <c r="G34" s="13">
        <v>50</v>
      </c>
      <c r="H34" s="14"/>
      <c r="I34" s="15">
        <f t="shared" si="2"/>
        <v>288.28999999999996</v>
      </c>
      <c r="J34" s="74" t="s">
        <v>273</v>
      </c>
      <c r="K34" s="20">
        <f t="shared" si="3"/>
        <v>7581</v>
      </c>
      <c r="L34" s="74" t="str">
        <f>VLOOKUP($J34,'2 CODIFICATION'!A$5:B$17,2,"FAUX")</f>
        <v>ADMINIST ET FONCT</v>
      </c>
      <c r="M34" s="74" t="str">
        <f>VLOOKUP($K34,'2 CODIFICATION'!D$8:E$64,2,"FAUX")</f>
        <v>Adhésions association</v>
      </c>
      <c r="N34" s="45">
        <v>758100</v>
      </c>
      <c r="O34" s="14">
        <f t="shared" si="0"/>
        <v>50</v>
      </c>
      <c r="P34" s="74">
        <f t="shared" si="1"/>
        <v>2020</v>
      </c>
      <c r="Q34" s="11" t="str">
        <f>VLOOKUP($N34,'2 CODIFICATION'!$G$5:$L$71,3,FALSE)</f>
        <v>Cotisations individuelles et associatives</v>
      </c>
      <c r="R34" s="53" t="str">
        <f>VLOOKUP($N34,'2 CODIFICATION'!$G$5:$L$71,4,FALSE)</f>
        <v>pdts</v>
      </c>
      <c r="S34" s="53">
        <f>VLOOKUP($N34,'2 CODIFICATION'!$G$5:$L$71,5,FALSE)</f>
        <v>75</v>
      </c>
      <c r="T34" s="11" t="str">
        <f>VLOOKUP($N34,'2 CODIFICATION'!$G$5:$L$71,6,FALSE)</f>
        <v>Autres produits de gestion courante</v>
      </c>
    </row>
    <row r="35" spans="1:20" ht="15" hidden="1" customHeight="1">
      <c r="A35" s="72" t="s">
        <v>170</v>
      </c>
      <c r="B35" s="29" t="s">
        <v>79</v>
      </c>
      <c r="C35" s="12"/>
      <c r="D35" s="76">
        <v>44195</v>
      </c>
      <c r="E35" s="17" t="s">
        <v>26</v>
      </c>
      <c r="F35" s="115"/>
      <c r="G35" s="13">
        <v>50</v>
      </c>
      <c r="H35" s="14"/>
      <c r="I35" s="15">
        <f t="shared" si="2"/>
        <v>338.28999999999996</v>
      </c>
      <c r="J35" s="74" t="s">
        <v>273</v>
      </c>
      <c r="K35" s="20">
        <f t="shared" si="3"/>
        <v>7581</v>
      </c>
      <c r="L35" s="74" t="str">
        <f>VLOOKUP($J35,'2 CODIFICATION'!A$5:B$17,2,"FAUX")</f>
        <v>ADMINIST ET FONCT</v>
      </c>
      <c r="M35" s="74" t="str">
        <f>VLOOKUP($K35,'2 CODIFICATION'!D$8:E$64,2,"FAUX")</f>
        <v>Adhésions association</v>
      </c>
      <c r="N35" s="45">
        <v>758100</v>
      </c>
      <c r="O35" s="14">
        <f t="shared" si="0"/>
        <v>50</v>
      </c>
      <c r="P35" s="74">
        <f t="shared" si="1"/>
        <v>2020</v>
      </c>
      <c r="Q35" s="11" t="str">
        <f>VLOOKUP($N35,'2 CODIFICATION'!$G$5:$L$71,3,FALSE)</f>
        <v>Cotisations individuelles et associatives</v>
      </c>
      <c r="R35" s="53" t="str">
        <f>VLOOKUP($N35,'2 CODIFICATION'!$G$5:$L$71,4,FALSE)</f>
        <v>pdts</v>
      </c>
      <c r="S35" s="53">
        <f>VLOOKUP($N35,'2 CODIFICATION'!$G$5:$L$71,5,FALSE)</f>
        <v>75</v>
      </c>
      <c r="T35" s="11" t="str">
        <f>VLOOKUP($N35,'2 CODIFICATION'!$G$5:$L$71,6,FALSE)</f>
        <v>Autres produits de gestion courante</v>
      </c>
    </row>
    <row r="36" spans="1:20" ht="15" hidden="1" customHeight="1">
      <c r="A36" s="72" t="s">
        <v>170</v>
      </c>
      <c r="B36" s="61" t="s">
        <v>82</v>
      </c>
      <c r="C36" s="62"/>
      <c r="D36" s="76">
        <v>44195</v>
      </c>
      <c r="E36" s="65" t="s">
        <v>144</v>
      </c>
      <c r="F36" s="146"/>
      <c r="G36" s="63">
        <v>8320</v>
      </c>
      <c r="H36" s="64"/>
      <c r="I36" s="15">
        <f t="shared" si="2"/>
        <v>8658.2900000000009</v>
      </c>
      <c r="J36" s="74" t="s">
        <v>273</v>
      </c>
      <c r="K36" s="20">
        <f t="shared" si="3"/>
        <v>8700</v>
      </c>
      <c r="L36" s="74" t="str">
        <f>VLOOKUP($J36,'2 CODIFICATION'!A$5:B$17,2,"FAUX")</f>
        <v>ADMINIST ET FONCT</v>
      </c>
      <c r="M36" s="74" t="str">
        <f>VLOOKUP($K36,'2 CODIFICATION'!D$8:E$64,2,"FAUX")</f>
        <v>Bénévolat</v>
      </c>
      <c r="N36" s="45">
        <v>870000</v>
      </c>
      <c r="O36" s="14">
        <f t="shared" si="0"/>
        <v>8320</v>
      </c>
      <c r="P36" s="74">
        <f t="shared" si="1"/>
        <v>2020</v>
      </c>
      <c r="Q36" s="11" t="str">
        <f>VLOOKUP($N36,'2 CODIFICATION'!$G$5:$L$71,3,FALSE)</f>
        <v>Bénévolat</v>
      </c>
      <c r="R36" s="53" t="str">
        <f>VLOOKUP($N36,'2 CODIFICATION'!$G$5:$L$71,4,FALSE)</f>
        <v>pdts</v>
      </c>
      <c r="S36" s="53">
        <f>VLOOKUP($N36,'2 CODIFICATION'!$G$5:$L$71,5,FALSE)</f>
        <v>87</v>
      </c>
      <c r="T36" s="11" t="str">
        <f>VLOOKUP($N36,'2 CODIFICATION'!$G$5:$L$71,6,FALSE)</f>
        <v>Contributions volontaires</v>
      </c>
    </row>
    <row r="37" spans="1:20" ht="15" hidden="1" customHeight="1">
      <c r="A37" s="72" t="s">
        <v>170</v>
      </c>
      <c r="B37" s="61" t="s">
        <v>82</v>
      </c>
      <c r="C37" s="62"/>
      <c r="D37" s="76">
        <v>44195</v>
      </c>
      <c r="E37" s="65" t="s">
        <v>146</v>
      </c>
      <c r="F37" s="146"/>
      <c r="G37" s="63">
        <v>400</v>
      </c>
      <c r="H37" s="64"/>
      <c r="I37" s="15">
        <f t="shared" si="2"/>
        <v>9058.2900000000009</v>
      </c>
      <c r="J37" s="74" t="s">
        <v>273</v>
      </c>
      <c r="K37" s="20">
        <f t="shared" si="3"/>
        <v>8710</v>
      </c>
      <c r="L37" s="74" t="str">
        <f>VLOOKUP($J37,'2 CODIFICATION'!A$5:B$17,2,"FAUX")</f>
        <v>ADMINIST ET FONCT</v>
      </c>
      <c r="M37" s="74" t="str">
        <f>VLOOKUP($K37,'2 CODIFICATION'!D$8:E$64,2,"FAUX")</f>
        <v>Prestations en nature</v>
      </c>
      <c r="N37" s="45">
        <v>871000</v>
      </c>
      <c r="O37" s="14">
        <f t="shared" si="0"/>
        <v>400</v>
      </c>
      <c r="P37" s="74">
        <f t="shared" si="1"/>
        <v>2020</v>
      </c>
      <c r="Q37" s="11" t="str">
        <f>VLOOKUP($N37,'2 CODIFICATION'!$G$5:$L$71,3,FALSE)</f>
        <v>Prestations en nature</v>
      </c>
      <c r="R37" s="53" t="str">
        <f>VLOOKUP($N37,'2 CODIFICATION'!$G$5:$L$71,4,FALSE)</f>
        <v>pdts</v>
      </c>
      <c r="S37" s="53">
        <f>VLOOKUP($N37,'2 CODIFICATION'!$G$5:$L$71,5,FALSE)</f>
        <v>87</v>
      </c>
      <c r="T37" s="11" t="str">
        <f>VLOOKUP($N37,'2 CODIFICATION'!$G$5:$L$71,6,FALSE)</f>
        <v>Contributions volontaires</v>
      </c>
    </row>
    <row r="38" spans="1:20" ht="15" hidden="1" customHeight="1">
      <c r="A38" s="72" t="s">
        <v>170</v>
      </c>
      <c r="B38" s="61" t="s">
        <v>82</v>
      </c>
      <c r="C38" s="62"/>
      <c r="D38" s="76">
        <v>44195</v>
      </c>
      <c r="E38" s="65" t="s">
        <v>145</v>
      </c>
      <c r="F38" s="146"/>
      <c r="G38" s="63"/>
      <c r="H38" s="64">
        <v>400</v>
      </c>
      <c r="I38" s="15">
        <f t="shared" si="2"/>
        <v>8658.2900000000009</v>
      </c>
      <c r="J38" s="74" t="s">
        <v>273</v>
      </c>
      <c r="K38" s="20">
        <f t="shared" si="3"/>
        <v>8620</v>
      </c>
      <c r="L38" s="74" t="str">
        <f>VLOOKUP($J38,'2 CODIFICATION'!A$5:B$17,2,"FAUX")</f>
        <v>ADMINIST ET FONCT</v>
      </c>
      <c r="M38" s="74" t="str">
        <f>VLOOKUP($K38,'2 CODIFICATION'!D$8:E$64,2,"FAUX")</f>
        <v>Prestations</v>
      </c>
      <c r="N38" s="45">
        <v>862000</v>
      </c>
      <c r="O38" s="14">
        <f t="shared" si="0"/>
        <v>-400</v>
      </c>
      <c r="P38" s="74">
        <f t="shared" si="1"/>
        <v>2020</v>
      </c>
      <c r="Q38" s="11" t="str">
        <f>VLOOKUP($N38,'2 CODIFICATION'!$G$5:$L$71,3,FALSE)</f>
        <v>Prestations</v>
      </c>
      <c r="R38" s="53" t="str">
        <f>VLOOKUP($N38,'2 CODIFICATION'!$G$5:$L$71,4,FALSE)</f>
        <v>chges</v>
      </c>
      <c r="S38" s="53">
        <f>VLOOKUP($N38,'2 CODIFICATION'!$G$5:$L$71,5,FALSE)</f>
        <v>86</v>
      </c>
      <c r="T38" s="11" t="str">
        <f>VLOOKUP($N38,'2 CODIFICATION'!$G$5:$L$71,6,FALSE)</f>
        <v>Emplois des contributions volontaires</v>
      </c>
    </row>
    <row r="39" spans="1:20" ht="15" hidden="1" customHeight="1" thickBot="1">
      <c r="A39" s="72" t="s">
        <v>170</v>
      </c>
      <c r="B39" s="61" t="s">
        <v>82</v>
      </c>
      <c r="C39" s="62"/>
      <c r="D39" s="76">
        <v>44195</v>
      </c>
      <c r="E39" s="65" t="s">
        <v>147</v>
      </c>
      <c r="F39" s="146"/>
      <c r="G39" s="63"/>
      <c r="H39" s="64">
        <v>8320</v>
      </c>
      <c r="I39" s="15">
        <f t="shared" si="2"/>
        <v>338.29000000000087</v>
      </c>
      <c r="J39" s="74" t="s">
        <v>273</v>
      </c>
      <c r="K39" s="20">
        <f t="shared" si="3"/>
        <v>8640</v>
      </c>
      <c r="L39" s="74" t="str">
        <f>VLOOKUP($J39,'2 CODIFICATION'!A$5:B$17,2,"FAUX")</f>
        <v>ADMINIST ET FONCT</v>
      </c>
      <c r="M39" s="74" t="str">
        <f>VLOOKUP($K39,'2 CODIFICATION'!D$8:E$64,2,"FAUX")</f>
        <v>Personnels bénévoles</v>
      </c>
      <c r="N39" s="45">
        <v>864000</v>
      </c>
      <c r="O39" s="14">
        <f t="shared" si="0"/>
        <v>-8320</v>
      </c>
      <c r="P39" s="74">
        <f t="shared" si="1"/>
        <v>2020</v>
      </c>
      <c r="Q39" s="11" t="str">
        <f>VLOOKUP($N39,'2 CODIFICATION'!$G$5:$L$71,3,FALSE)</f>
        <v>Personnels bénévoles</v>
      </c>
      <c r="R39" s="53" t="str">
        <f>VLOOKUP($N39,'2 CODIFICATION'!$G$5:$L$71,4,FALSE)</f>
        <v>chges</v>
      </c>
      <c r="S39" s="53">
        <f>VLOOKUP($N39,'2 CODIFICATION'!$G$5:$L$71,5,FALSE)</f>
        <v>86</v>
      </c>
      <c r="T39" s="11" t="str">
        <f>VLOOKUP($N39,'2 CODIFICATION'!$G$5:$L$71,6,FALSE)</f>
        <v>Contributions volontaires</v>
      </c>
    </row>
    <row r="40" spans="1:20" s="78" customFormat="1" ht="15" hidden="1" customHeight="1">
      <c r="A40" s="78" t="s">
        <v>197</v>
      </c>
      <c r="B40" s="78" t="s">
        <v>79</v>
      </c>
      <c r="C40" s="79"/>
      <c r="D40" s="80">
        <v>44197</v>
      </c>
      <c r="E40" s="79" t="s">
        <v>162</v>
      </c>
      <c r="F40" s="147"/>
      <c r="G40" s="81">
        <v>338.28999999999996</v>
      </c>
      <c r="H40" s="82"/>
      <c r="I40" s="83">
        <v>338.28999999999996</v>
      </c>
      <c r="J40" s="74" t="s">
        <v>198</v>
      </c>
      <c r="K40" s="20">
        <f t="shared" si="3"/>
        <v>5120</v>
      </c>
      <c r="L40" s="74" t="str">
        <f>VLOOKUP($J40,'2 CODIFICATION'!A$5:B$17,2,"FAUX")</f>
        <v>HYGIENE MENSTRUELLE</v>
      </c>
      <c r="M40" s="74" t="str">
        <f>VLOOKUP($K40,'2 CODIFICATION'!D$8:E$64,2,"FAUX")</f>
        <v>Banque</v>
      </c>
      <c r="N40" s="84">
        <v>512000</v>
      </c>
      <c r="O40" s="14">
        <f t="shared" si="0"/>
        <v>338.28999999999996</v>
      </c>
      <c r="P40" s="84">
        <f t="shared" si="1"/>
        <v>2021</v>
      </c>
      <c r="Q40" s="11" t="str">
        <f>VLOOKUP($N40,'2 CODIFICATION'!$G$5:$L$71,3,FALSE)</f>
        <v>Banque</v>
      </c>
      <c r="R40" s="53" t="str">
        <f>VLOOKUP($N40,'2 CODIFICATION'!$G$5:$L$71,4,FALSE)</f>
        <v>bilan</v>
      </c>
      <c r="S40" s="53">
        <f>VLOOKUP($N40,'2 CODIFICATION'!$G$5:$L$71,5,FALSE)</f>
        <v>50</v>
      </c>
      <c r="T40" s="11" t="str">
        <f>VLOOKUP($N40,'2 CODIFICATION'!$G$5:$L$71,6,FALSE)</f>
        <v>Trésorerie</v>
      </c>
    </row>
    <row r="41" spans="1:20" s="78" customFormat="1" ht="15" hidden="1" customHeight="1">
      <c r="A41" s="78" t="s">
        <v>197</v>
      </c>
      <c r="B41" s="78" t="s">
        <v>79</v>
      </c>
      <c r="C41" s="79"/>
      <c r="D41" s="80">
        <v>44561</v>
      </c>
      <c r="E41" s="79" t="s">
        <v>178</v>
      </c>
      <c r="F41" s="147"/>
      <c r="G41" s="81"/>
      <c r="H41" s="82">
        <v>100</v>
      </c>
      <c r="I41" s="66">
        <f t="shared" ref="I41:I104" si="4">G41-H41+I40</f>
        <v>238.28999999999996</v>
      </c>
      <c r="J41" s="74" t="s">
        <v>273</v>
      </c>
      <c r="K41" s="20">
        <f t="shared" si="3"/>
        <v>6022</v>
      </c>
      <c r="L41" s="74" t="str">
        <f>VLOOKUP($J41,'2 CODIFICATION'!A$5:B$17,2,"FAUX")</f>
        <v>ADMINIST ET FONCT</v>
      </c>
      <c r="M41" s="74" t="str">
        <f>VLOOKUP($K41,'2 CODIFICATION'!D$8:E$64,2,"FAUX")</f>
        <v>Fournitures stockées</v>
      </c>
      <c r="N41" s="85">
        <v>602200</v>
      </c>
      <c r="O41" s="14">
        <f t="shared" si="0"/>
        <v>-100</v>
      </c>
      <c r="P41" s="84">
        <f t="shared" ref="P41:P72" si="5">YEAR(D41)</f>
        <v>2021</v>
      </c>
      <c r="Q41" s="11" t="str">
        <f>VLOOKUP($N41,'2 CODIFICATION'!$G$5:$L$71,3,FALSE)</f>
        <v>Fournitures de bureau et consommables</v>
      </c>
      <c r="R41" s="53" t="str">
        <f>VLOOKUP($N41,'2 CODIFICATION'!$G$5:$L$71,4,FALSE)</f>
        <v>chges</v>
      </c>
      <c r="S41" s="53">
        <f>VLOOKUP($N41,'2 CODIFICATION'!$G$5:$L$71,5,FALSE)</f>
        <v>60</v>
      </c>
      <c r="T41" s="11" t="str">
        <f>VLOOKUP($N41,'2 CODIFICATION'!$G$5:$L$71,6,FALSE)</f>
        <v>Achat</v>
      </c>
    </row>
    <row r="42" spans="1:20" s="78" customFormat="1" ht="15" hidden="1" customHeight="1">
      <c r="A42" s="78" t="s">
        <v>197</v>
      </c>
      <c r="B42" s="78" t="s">
        <v>79</v>
      </c>
      <c r="C42" s="79"/>
      <c r="D42" s="80">
        <v>44561</v>
      </c>
      <c r="E42" s="79" t="s">
        <v>179</v>
      </c>
      <c r="F42" s="147"/>
      <c r="G42" s="81"/>
      <c r="H42" s="82">
        <v>240</v>
      </c>
      <c r="I42" s="66">
        <f t="shared" si="4"/>
        <v>-1.7100000000000364</v>
      </c>
      <c r="J42" s="74" t="s">
        <v>273</v>
      </c>
      <c r="K42" s="20">
        <f t="shared" si="3"/>
        <v>6040</v>
      </c>
      <c r="L42" s="74" t="str">
        <f>VLOOKUP($J42,'2 CODIFICATION'!A$5:B$17,2,"FAUX")</f>
        <v>ADMINIST ET FONCT</v>
      </c>
      <c r="M42" s="74" t="str">
        <f>VLOOKUP($K42,'2 CODIFICATION'!D$8:E$64,2,"FAUX")</f>
        <v>prestations études</v>
      </c>
      <c r="N42" s="85">
        <v>604000</v>
      </c>
      <c r="O42" s="14">
        <f t="shared" ref="O42:O72" si="6">G42-H42</f>
        <v>-240</v>
      </c>
      <c r="P42" s="84">
        <f t="shared" si="5"/>
        <v>2021</v>
      </c>
      <c r="Q42" s="11" t="str">
        <f>VLOOKUP($N42,'2 CODIFICATION'!$G$5:$L$71,3,FALSE)</f>
        <v>Prestations de services (Hydrogéologue Nokbak)</v>
      </c>
      <c r="R42" s="53" t="str">
        <f>VLOOKUP($N42,'2 CODIFICATION'!$G$5:$L$71,4,FALSE)</f>
        <v>chges</v>
      </c>
      <c r="S42" s="53">
        <f>VLOOKUP($N42,'2 CODIFICATION'!$G$5:$L$71,5,FALSE)</f>
        <v>60</v>
      </c>
      <c r="T42" s="11" t="str">
        <f>VLOOKUP($N42,'2 CODIFICATION'!$G$5:$L$71,6,FALSE)</f>
        <v>Achat</v>
      </c>
    </row>
    <row r="43" spans="1:20" s="78" customFormat="1" ht="15" hidden="1" customHeight="1">
      <c r="A43" s="78" t="s">
        <v>197</v>
      </c>
      <c r="B43" s="78" t="s">
        <v>79</v>
      </c>
      <c r="C43" s="79"/>
      <c r="D43" s="80">
        <v>44561</v>
      </c>
      <c r="E43" s="79" t="s">
        <v>35</v>
      </c>
      <c r="F43" s="147"/>
      <c r="G43" s="81"/>
      <c r="H43" s="82">
        <v>100</v>
      </c>
      <c r="I43" s="66">
        <f t="shared" si="4"/>
        <v>-101.71000000000004</v>
      </c>
      <c r="J43" s="74" t="s">
        <v>273</v>
      </c>
      <c r="K43" s="20">
        <f t="shared" si="3"/>
        <v>6064</v>
      </c>
      <c r="L43" s="74" t="str">
        <f>VLOOKUP($J43,'2 CODIFICATION'!A$5:B$17,2,"FAUX")</f>
        <v>ADMINIST ET FONCT</v>
      </c>
      <c r="M43" s="74" t="str">
        <f>VLOOKUP($K43,'2 CODIFICATION'!D$8:E$64,2,"FAUX")</f>
        <v>Frais de fonctionnement et fourniture</v>
      </c>
      <c r="N43" s="85">
        <v>606400</v>
      </c>
      <c r="O43" s="14">
        <f t="shared" si="6"/>
        <v>-100</v>
      </c>
      <c r="P43" s="84">
        <f t="shared" si="5"/>
        <v>2021</v>
      </c>
      <c r="Q43" s="11" t="str">
        <f>VLOOKUP($N43,'2 CODIFICATION'!$G$5:$L$71,3,FALSE)</f>
        <v>Fournitures administratives</v>
      </c>
      <c r="R43" s="53" t="str">
        <f>VLOOKUP($N43,'2 CODIFICATION'!$G$5:$L$71,4,FALSE)</f>
        <v>chges</v>
      </c>
      <c r="S43" s="53">
        <f>VLOOKUP($N43,'2 CODIFICATION'!$G$5:$L$71,5,FALSE)</f>
        <v>60</v>
      </c>
      <c r="T43" s="11" t="str">
        <f>VLOOKUP($N43,'2 CODIFICATION'!$G$5:$L$71,6,FALSE)</f>
        <v>Achat</v>
      </c>
    </row>
    <row r="44" spans="1:20" s="78" customFormat="1" ht="15" hidden="1" customHeight="1">
      <c r="A44" s="78" t="s">
        <v>197</v>
      </c>
      <c r="B44" s="78" t="s">
        <v>79</v>
      </c>
      <c r="C44" s="86"/>
      <c r="D44" s="80">
        <v>44561</v>
      </c>
      <c r="E44" s="79" t="s">
        <v>167</v>
      </c>
      <c r="F44" s="147"/>
      <c r="G44" s="81"/>
      <c r="H44" s="82">
        <v>150</v>
      </c>
      <c r="I44" s="66">
        <f t="shared" si="4"/>
        <v>-251.71000000000004</v>
      </c>
      <c r="J44" s="74" t="s">
        <v>273</v>
      </c>
      <c r="K44" s="20">
        <f t="shared" si="3"/>
        <v>6160</v>
      </c>
      <c r="L44" s="74" t="str">
        <f>VLOOKUP($J44,'2 CODIFICATION'!A$5:B$17,2,"FAUX")</f>
        <v>ADMINIST ET FONCT</v>
      </c>
      <c r="M44" s="74" t="str">
        <f>VLOOKUP($K44,'2 CODIFICATION'!D$8:E$64,2,"FAUX")</f>
        <v>Assurance RC</v>
      </c>
      <c r="N44" s="85">
        <v>616000</v>
      </c>
      <c r="O44" s="14">
        <f t="shared" si="6"/>
        <v>-150</v>
      </c>
      <c r="P44" s="84">
        <f t="shared" si="5"/>
        <v>2021</v>
      </c>
      <c r="Q44" s="11" t="str">
        <f>VLOOKUP($N44,'2 CODIFICATION'!$G$5:$L$71,3,FALSE)</f>
        <v>Primes d'assurance</v>
      </c>
      <c r="R44" s="53" t="str">
        <f>VLOOKUP($N44,'2 CODIFICATION'!$G$5:$L$71,4,FALSE)</f>
        <v>chges</v>
      </c>
      <c r="S44" s="53">
        <f>VLOOKUP($N44,'2 CODIFICATION'!$G$5:$L$71,5,FALSE)</f>
        <v>61</v>
      </c>
      <c r="T44" s="11" t="str">
        <f>VLOOKUP($N44,'2 CODIFICATION'!$G$5:$L$71,6,FALSE)</f>
        <v>Services extérieurs</v>
      </c>
    </row>
    <row r="45" spans="1:20" s="78" customFormat="1" ht="15" hidden="1" customHeight="1">
      <c r="A45" s="78" t="s">
        <v>197</v>
      </c>
      <c r="B45" s="78" t="s">
        <v>79</v>
      </c>
      <c r="C45" s="86"/>
      <c r="D45" s="80">
        <v>44561</v>
      </c>
      <c r="E45" s="79" t="s">
        <v>42</v>
      </c>
      <c r="F45" s="147"/>
      <c r="G45" s="81"/>
      <c r="H45" s="82">
        <v>50</v>
      </c>
      <c r="I45" s="66">
        <f t="shared" si="4"/>
        <v>-301.71000000000004</v>
      </c>
      <c r="J45" s="74" t="s">
        <v>273</v>
      </c>
      <c r="K45" s="20">
        <f t="shared" si="3"/>
        <v>6181</v>
      </c>
      <c r="L45" s="74" t="str">
        <f>VLOOKUP($J45,'2 CODIFICATION'!A$5:B$17,2,"FAUX")</f>
        <v>ADMINIST ET FONCT</v>
      </c>
      <c r="M45" s="74" t="str">
        <f>VLOOKUP($K45,'2 CODIFICATION'!D$8:E$64,2,"FAUX")</f>
        <v>documentation générale</v>
      </c>
      <c r="N45" s="85">
        <v>618100</v>
      </c>
      <c r="O45" s="14">
        <f t="shared" si="6"/>
        <v>-50</v>
      </c>
      <c r="P45" s="84">
        <f t="shared" si="5"/>
        <v>2021</v>
      </c>
      <c r="Q45" s="11" t="str">
        <f>VLOOKUP($N45,'2 CODIFICATION'!$G$5:$L$71,3,FALSE)</f>
        <v>Documentation générale</v>
      </c>
      <c r="R45" s="53" t="str">
        <f>VLOOKUP($N45,'2 CODIFICATION'!$G$5:$L$71,4,FALSE)</f>
        <v>chges</v>
      </c>
      <c r="S45" s="53">
        <f>VLOOKUP($N45,'2 CODIFICATION'!$G$5:$L$71,5,FALSE)</f>
        <v>61</v>
      </c>
      <c r="T45" s="11" t="str">
        <f>VLOOKUP($N45,'2 CODIFICATION'!$G$5:$L$71,6,FALSE)</f>
        <v>Autres services extérieurs</v>
      </c>
    </row>
    <row r="46" spans="1:20" s="78" customFormat="1" ht="15" hidden="1" customHeight="1">
      <c r="A46" s="78" t="s">
        <v>197</v>
      </c>
      <c r="B46" s="78" t="s">
        <v>79</v>
      </c>
      <c r="C46" s="86"/>
      <c r="D46" s="80">
        <v>44561</v>
      </c>
      <c r="E46" s="86" t="s">
        <v>182</v>
      </c>
      <c r="F46" s="148"/>
      <c r="G46" s="81"/>
      <c r="H46" s="82">
        <v>50</v>
      </c>
      <c r="I46" s="66">
        <f t="shared" si="4"/>
        <v>-351.71000000000004</v>
      </c>
      <c r="J46" s="74" t="s">
        <v>273</v>
      </c>
      <c r="K46" s="20">
        <f t="shared" si="3"/>
        <v>6230</v>
      </c>
      <c r="L46" s="74" t="str">
        <f>VLOOKUP($J46,'2 CODIFICATION'!A$5:B$17,2,"FAUX")</f>
        <v>ADMINIST ET FONCT</v>
      </c>
      <c r="M46" s="74" t="str">
        <f>VLOOKUP($K46,'2 CODIFICATION'!D$8:E$64,2,"FAUX")</f>
        <v>communication</v>
      </c>
      <c r="N46" s="85">
        <v>623000</v>
      </c>
      <c r="O46" s="14">
        <f t="shared" si="6"/>
        <v>-50</v>
      </c>
      <c r="P46" s="84">
        <f t="shared" si="5"/>
        <v>2021</v>
      </c>
      <c r="Q46" s="11" t="str">
        <f>VLOOKUP($N46,'2 CODIFICATION'!$G$5:$L$71,3,FALSE)</f>
        <v>Publicité, publications, Création de site web</v>
      </c>
      <c r="R46" s="53" t="str">
        <f>VLOOKUP($N46,'2 CODIFICATION'!$G$5:$L$71,4,FALSE)</f>
        <v>chges</v>
      </c>
      <c r="S46" s="53">
        <f>VLOOKUP($N46,'2 CODIFICATION'!$G$5:$L$71,5,FALSE)</f>
        <v>62</v>
      </c>
      <c r="T46" s="11" t="str">
        <f>VLOOKUP($N46,'2 CODIFICATION'!$G$5:$L$71,6,FALSE)</f>
        <v>Autres services extérieurs</v>
      </c>
    </row>
    <row r="47" spans="1:20" s="78" customFormat="1" ht="15" hidden="1" customHeight="1">
      <c r="A47" s="78" t="s">
        <v>197</v>
      </c>
      <c r="B47" s="78" t="s">
        <v>79</v>
      </c>
      <c r="C47" s="79"/>
      <c r="D47" s="80">
        <v>44561</v>
      </c>
      <c r="E47" s="79" t="s">
        <v>48</v>
      </c>
      <c r="F47" s="147"/>
      <c r="G47" s="81"/>
      <c r="H47" s="82">
        <v>800</v>
      </c>
      <c r="I47" s="66">
        <f t="shared" si="4"/>
        <v>-1151.71</v>
      </c>
      <c r="J47" s="74" t="s">
        <v>273</v>
      </c>
      <c r="K47" s="20">
        <f t="shared" si="3"/>
        <v>6250</v>
      </c>
      <c r="L47" s="74" t="str">
        <f>VLOOKUP($J47,'2 CODIFICATION'!A$5:B$17,2,"FAUX")</f>
        <v>ADMINIST ET FONCT</v>
      </c>
      <c r="M47" s="74" t="str">
        <f>VLOOKUP($K47,'2 CODIFICATION'!D$8:E$64,2,"FAUX")</f>
        <v>déplacements</v>
      </c>
      <c r="N47" s="85">
        <v>625000</v>
      </c>
      <c r="O47" s="14">
        <f t="shared" si="6"/>
        <v>-800</v>
      </c>
      <c r="P47" s="84">
        <f t="shared" si="5"/>
        <v>2021</v>
      </c>
      <c r="Q47" s="11" t="str">
        <f>VLOOKUP($N47,'2 CODIFICATION'!$G$5:$L$71,3,FALSE)</f>
        <v>Déplacements, missions et réceptions</v>
      </c>
      <c r="R47" s="53" t="str">
        <f>VLOOKUP($N47,'2 CODIFICATION'!$G$5:$L$71,4,FALSE)</f>
        <v>chges</v>
      </c>
      <c r="S47" s="53">
        <f>VLOOKUP($N47,'2 CODIFICATION'!$G$5:$L$71,5,FALSE)</f>
        <v>62</v>
      </c>
      <c r="T47" s="11" t="str">
        <f>VLOOKUP($N47,'2 CODIFICATION'!$G$5:$L$71,6,FALSE)</f>
        <v>Autres services extérieurs</v>
      </c>
    </row>
    <row r="48" spans="1:20" s="78" customFormat="1" ht="15" hidden="1" customHeight="1">
      <c r="A48" s="78" t="s">
        <v>197</v>
      </c>
      <c r="B48" s="78" t="s">
        <v>79</v>
      </c>
      <c r="C48" s="79"/>
      <c r="D48" s="80">
        <v>44561</v>
      </c>
      <c r="E48" s="79" t="s">
        <v>52</v>
      </c>
      <c r="F48" s="147"/>
      <c r="G48" s="81"/>
      <c r="H48" s="82">
        <v>90</v>
      </c>
      <c r="I48" s="66">
        <f t="shared" si="4"/>
        <v>-1241.71</v>
      </c>
      <c r="J48" s="74" t="s">
        <v>273</v>
      </c>
      <c r="K48" s="20">
        <f t="shared" si="3"/>
        <v>6261</v>
      </c>
      <c r="L48" s="74" t="str">
        <f>VLOOKUP($J48,'2 CODIFICATION'!A$5:B$17,2,"FAUX")</f>
        <v>ADMINIST ET FONCT</v>
      </c>
      <c r="M48" s="74" t="str">
        <f>VLOOKUP($K48,'2 CODIFICATION'!D$8:E$64,2,"FAUX")</f>
        <v>Frais d'envoi</v>
      </c>
      <c r="N48" s="85">
        <v>626100</v>
      </c>
      <c r="O48" s="14">
        <f t="shared" si="6"/>
        <v>-90</v>
      </c>
      <c r="P48" s="84">
        <f t="shared" si="5"/>
        <v>2021</v>
      </c>
      <c r="Q48" s="11" t="str">
        <f>VLOOKUP($N48,'2 CODIFICATION'!$G$5:$L$71,3,FALSE)</f>
        <v>Frais postaux</v>
      </c>
      <c r="R48" s="53" t="str">
        <f>VLOOKUP($N48,'2 CODIFICATION'!$G$5:$L$71,4,FALSE)</f>
        <v>chges</v>
      </c>
      <c r="S48" s="53">
        <f>VLOOKUP($N48,'2 CODIFICATION'!$G$5:$L$71,5,FALSE)</f>
        <v>62</v>
      </c>
      <c r="T48" s="11" t="str">
        <f>VLOOKUP($N48,'2 CODIFICATION'!$G$5:$L$71,6,FALSE)</f>
        <v>Autres services extérieurs</v>
      </c>
    </row>
    <row r="49" spans="1:20" s="78" customFormat="1" ht="15" hidden="1" customHeight="1">
      <c r="A49" s="78" t="s">
        <v>197</v>
      </c>
      <c r="B49" s="78" t="s">
        <v>79</v>
      </c>
      <c r="C49" s="79"/>
      <c r="D49" s="80">
        <v>44561</v>
      </c>
      <c r="E49" s="79" t="s">
        <v>187</v>
      </c>
      <c r="F49" s="147"/>
      <c r="G49" s="81"/>
      <c r="H49" s="82">
        <v>120</v>
      </c>
      <c r="I49" s="66">
        <f t="shared" si="4"/>
        <v>-1361.71</v>
      </c>
      <c r="J49" s="74" t="s">
        <v>273</v>
      </c>
      <c r="K49" s="20">
        <f t="shared" si="3"/>
        <v>6262</v>
      </c>
      <c r="L49" s="74" t="str">
        <f>VLOOKUP($J49,'2 CODIFICATION'!A$5:B$17,2,"FAUX")</f>
        <v>ADMINIST ET FONCT</v>
      </c>
      <c r="M49" s="74" t="str">
        <f>VLOOKUP($K49,'2 CODIFICATION'!D$8:E$64,2,"FAUX")</f>
        <v>Téléphone</v>
      </c>
      <c r="N49" s="85">
        <v>626200</v>
      </c>
      <c r="O49" s="14">
        <f t="shared" si="6"/>
        <v>-120</v>
      </c>
      <c r="P49" s="84">
        <f t="shared" si="5"/>
        <v>2021</v>
      </c>
      <c r="Q49" s="11" t="str">
        <f>VLOOKUP($N49,'2 CODIFICATION'!$G$5:$L$71,3,FALSE)</f>
        <v>Frais de téléphone, fax et portables</v>
      </c>
      <c r="R49" s="53" t="str">
        <f>VLOOKUP($N49,'2 CODIFICATION'!$G$5:$L$71,4,FALSE)</f>
        <v>chges</v>
      </c>
      <c r="S49" s="53">
        <f>VLOOKUP($N49,'2 CODIFICATION'!$G$5:$L$71,5,FALSE)</f>
        <v>62</v>
      </c>
      <c r="T49" s="11" t="str">
        <f>VLOOKUP($N49,'2 CODIFICATION'!$G$5:$L$71,6,FALSE)</f>
        <v>Autres services extérieurs</v>
      </c>
    </row>
    <row r="50" spans="1:20" s="78" customFormat="1" ht="15" hidden="1" customHeight="1">
      <c r="A50" s="78" t="s">
        <v>197</v>
      </c>
      <c r="B50" s="78" t="s">
        <v>79</v>
      </c>
      <c r="C50" s="79"/>
      <c r="D50" s="80">
        <v>44561</v>
      </c>
      <c r="E50" s="79" t="s">
        <v>188</v>
      </c>
      <c r="F50" s="147"/>
      <c r="G50" s="81"/>
      <c r="H50" s="82">
        <v>200</v>
      </c>
      <c r="I50" s="66">
        <f t="shared" si="4"/>
        <v>-1561.71</v>
      </c>
      <c r="J50" s="74" t="s">
        <v>273</v>
      </c>
      <c r="K50" s="20">
        <f t="shared" si="3"/>
        <v>6281</v>
      </c>
      <c r="L50" s="74" t="str">
        <f>VLOOKUP($J50,'2 CODIFICATION'!A$5:B$17,2,"FAUX")</f>
        <v>ADMINIST ET FONCT</v>
      </c>
      <c r="M50" s="74" t="str">
        <f>VLOOKUP($K50,'2 CODIFICATION'!D$8:E$64,2,"FAUX")</f>
        <v>adhésion Hellasso+ autres</v>
      </c>
      <c r="N50" s="85">
        <v>628100</v>
      </c>
      <c r="O50" s="14">
        <f t="shared" si="6"/>
        <v>-200</v>
      </c>
      <c r="P50" s="84">
        <f t="shared" si="5"/>
        <v>2021</v>
      </c>
      <c r="Q50" s="11" t="str">
        <f>VLOOKUP($N50,'2 CODIFICATION'!$G$5:$L$71,3,FALSE)</f>
        <v>adhesion Hellasso</v>
      </c>
      <c r="R50" s="53" t="str">
        <f>VLOOKUP($N50,'2 CODIFICATION'!$G$5:$L$71,4,FALSE)</f>
        <v>chges</v>
      </c>
      <c r="S50" s="53">
        <f>VLOOKUP($N50,'2 CODIFICATION'!$G$5:$L$71,5,FALSE)</f>
        <v>62</v>
      </c>
      <c r="T50" s="11" t="str">
        <f>VLOOKUP($N50,'2 CODIFICATION'!$G$5:$L$71,6,FALSE)</f>
        <v>Autres services extérieurs</v>
      </c>
    </row>
    <row r="51" spans="1:20" s="78" customFormat="1" ht="15" hidden="1" customHeight="1">
      <c r="A51" s="78" t="s">
        <v>197</v>
      </c>
      <c r="B51" s="78" t="s">
        <v>79</v>
      </c>
      <c r="C51" s="79"/>
      <c r="D51" s="80">
        <v>44561</v>
      </c>
      <c r="E51" s="79" t="s">
        <v>189</v>
      </c>
      <c r="F51" s="147"/>
      <c r="G51" s="81"/>
      <c r="H51" s="82">
        <v>23500</v>
      </c>
      <c r="I51" s="66">
        <f t="shared" si="4"/>
        <v>-25061.71</v>
      </c>
      <c r="J51" s="84" t="s">
        <v>198</v>
      </c>
      <c r="K51" s="20">
        <f t="shared" si="3"/>
        <v>6110</v>
      </c>
      <c r="L51" s="74" t="str">
        <f>VLOOKUP($J51,'2 CODIFICATION'!A$5:B$17,2,"FAUX")</f>
        <v>HYGIENE MENSTRUELLE</v>
      </c>
      <c r="M51" s="74" t="str">
        <f>VLOOKUP($K51,'2 CODIFICATION'!D$8:E$64,2,"FAUX")</f>
        <v>Sous traitance projet</v>
      </c>
      <c r="N51" s="85">
        <v>611000</v>
      </c>
      <c r="O51" s="14">
        <f t="shared" si="6"/>
        <v>-23500</v>
      </c>
      <c r="P51" s="84">
        <f t="shared" si="5"/>
        <v>2021</v>
      </c>
      <c r="Q51" s="11" t="str">
        <f>VLOOKUP($N51,'2 CODIFICATION'!$G$5:$L$71,3,FALSE)</f>
        <v xml:space="preserve">Sous-traitance générale </v>
      </c>
      <c r="R51" s="53" t="str">
        <f>VLOOKUP($N51,'2 CODIFICATION'!$G$5:$L$71,4,FALSE)</f>
        <v>chges</v>
      </c>
      <c r="S51" s="53">
        <f>VLOOKUP($N51,'2 CODIFICATION'!$G$5:$L$71,5,FALSE)</f>
        <v>61</v>
      </c>
      <c r="T51" s="11" t="str">
        <f>VLOOKUP($N51,'2 CODIFICATION'!$G$5:$L$71,6,FALSE)</f>
        <v>Services extérieurs</v>
      </c>
    </row>
    <row r="52" spans="1:20" s="78" customFormat="1" ht="15" hidden="1" customHeight="1">
      <c r="A52" s="78" t="s">
        <v>197</v>
      </c>
      <c r="B52" s="78" t="s">
        <v>79</v>
      </c>
      <c r="C52" s="79"/>
      <c r="D52" s="80">
        <v>44561</v>
      </c>
      <c r="E52" s="86" t="s">
        <v>190</v>
      </c>
      <c r="F52" s="148"/>
      <c r="G52" s="81"/>
      <c r="H52" s="82">
        <v>3000</v>
      </c>
      <c r="I52" s="66">
        <f t="shared" si="4"/>
        <v>-28061.71</v>
      </c>
      <c r="J52" s="84" t="s">
        <v>232</v>
      </c>
      <c r="K52" s="20">
        <v>6070</v>
      </c>
      <c r="L52" s="74" t="str">
        <f>VLOOKUP($J52,'2 CODIFICATION'!A$5:B$17,2,"FAUX")</f>
        <v>DASSOUTE TEUILLAC CONST ECOLE</v>
      </c>
      <c r="M52" s="74" t="str">
        <f>VLOOKUP($K52,'2 CODIFICATION'!D$8:E$64,2,"FAUX")</f>
        <v>Achats matériaux</v>
      </c>
      <c r="N52" s="85">
        <v>611000</v>
      </c>
      <c r="O52" s="14">
        <f t="shared" si="6"/>
        <v>-3000</v>
      </c>
      <c r="P52" s="84">
        <f t="shared" si="5"/>
        <v>2021</v>
      </c>
      <c r="Q52" s="11" t="str">
        <f>VLOOKUP($N52,'2 CODIFICATION'!$G$5:$L$71,3,FALSE)</f>
        <v xml:space="preserve">Sous-traitance générale </v>
      </c>
      <c r="R52" s="53" t="str">
        <f>VLOOKUP($N52,'2 CODIFICATION'!$G$5:$L$71,4,FALSE)</f>
        <v>chges</v>
      </c>
      <c r="S52" s="53">
        <f>VLOOKUP($N52,'2 CODIFICATION'!$G$5:$L$71,5,FALSE)</f>
        <v>61</v>
      </c>
      <c r="T52" s="11" t="str">
        <f>VLOOKUP($N52,'2 CODIFICATION'!$G$5:$L$71,6,FALSE)</f>
        <v>Services extérieurs</v>
      </c>
    </row>
    <row r="53" spans="1:20" s="78" customFormat="1" ht="15" hidden="1" customHeight="1">
      <c r="A53" s="78" t="s">
        <v>197</v>
      </c>
      <c r="B53" s="78" t="s">
        <v>79</v>
      </c>
      <c r="C53" s="79"/>
      <c r="D53" s="80">
        <v>44561</v>
      </c>
      <c r="E53" s="86" t="s">
        <v>190</v>
      </c>
      <c r="F53" s="148"/>
      <c r="G53" s="81"/>
      <c r="H53" s="82">
        <v>1000</v>
      </c>
      <c r="I53" s="66">
        <f t="shared" si="4"/>
        <v>-29061.71</v>
      </c>
      <c r="J53" s="84" t="s">
        <v>307</v>
      </c>
      <c r="K53" s="20">
        <v>6071</v>
      </c>
      <c r="L53" s="74" t="str">
        <f>VLOOKUP($J53,'2 CODIFICATION'!A$5:B$17,2,"FAUX")</f>
        <v>DASSOUTE TEUILLAC FOURN SCOLAIRES</v>
      </c>
      <c r="M53" s="74" t="str">
        <f>VLOOKUP($K53,'2 CODIFICATION'!D$8:E$64,2,"FAUX")</f>
        <v>Achats fournitures et matériels</v>
      </c>
      <c r="N53" s="85">
        <v>611000</v>
      </c>
      <c r="O53" s="14">
        <f>G53-H53</f>
        <v>-1000</v>
      </c>
      <c r="P53" s="84">
        <f>YEAR(D53)</f>
        <v>2021</v>
      </c>
      <c r="Q53" s="11" t="str">
        <f>VLOOKUP($N53,'2 CODIFICATION'!$G$5:$L$71,3,FALSE)</f>
        <v xml:space="preserve">Sous-traitance générale </v>
      </c>
      <c r="R53" s="53" t="str">
        <f>VLOOKUP($N53,'2 CODIFICATION'!$G$5:$L$71,4,FALSE)</f>
        <v>chges</v>
      </c>
      <c r="S53" s="53">
        <f>VLOOKUP($N53,'2 CODIFICATION'!$G$5:$L$71,5,FALSE)</f>
        <v>61</v>
      </c>
      <c r="T53" s="11" t="str">
        <f>VLOOKUP($N53,'2 CODIFICATION'!$G$5:$L$71,6,FALSE)</f>
        <v>Services extérieurs</v>
      </c>
    </row>
    <row r="54" spans="1:20" s="78" customFormat="1" ht="15" hidden="1" customHeight="1">
      <c r="A54" s="78" t="s">
        <v>197</v>
      </c>
      <c r="B54" s="78" t="s">
        <v>79</v>
      </c>
      <c r="C54" s="79"/>
      <c r="D54" s="80">
        <v>44561</v>
      </c>
      <c r="E54" s="86" t="s">
        <v>190</v>
      </c>
      <c r="F54" s="148"/>
      <c r="G54" s="81"/>
      <c r="H54" s="82">
        <v>1000</v>
      </c>
      <c r="I54" s="66">
        <f t="shared" si="4"/>
        <v>-30061.71</v>
      </c>
      <c r="J54" s="84" t="s">
        <v>308</v>
      </c>
      <c r="K54" s="20">
        <v>6071</v>
      </c>
      <c r="L54" s="74" t="str">
        <f>VLOOKUP($J54,'2 CODIFICATION'!A$5:B$17,2,"FAUX")</f>
        <v>DASSOUTE TEUILLAC MARAICHAGE</v>
      </c>
      <c r="M54" s="74" t="str">
        <f>VLOOKUP($K54,'2 CODIFICATION'!D$8:E$64,2,"FAUX")</f>
        <v>Achats fournitures et matériels</v>
      </c>
      <c r="N54" s="85">
        <v>611000</v>
      </c>
      <c r="O54" s="14">
        <f>G54-H54</f>
        <v>-1000</v>
      </c>
      <c r="P54" s="84">
        <f>YEAR(D54)</f>
        <v>2021</v>
      </c>
      <c r="Q54" s="11" t="str">
        <f>VLOOKUP($N54,'2 CODIFICATION'!$G$5:$L$71,3,FALSE)</f>
        <v xml:space="preserve">Sous-traitance générale </v>
      </c>
      <c r="R54" s="53" t="str">
        <f>VLOOKUP($N54,'2 CODIFICATION'!$G$5:$L$71,4,FALSE)</f>
        <v>chges</v>
      </c>
      <c r="S54" s="53">
        <f>VLOOKUP($N54,'2 CODIFICATION'!$G$5:$L$71,5,FALSE)</f>
        <v>61</v>
      </c>
      <c r="T54" s="11" t="str">
        <f>VLOOKUP($N54,'2 CODIFICATION'!$G$5:$L$71,6,FALSE)</f>
        <v>Services extérieurs</v>
      </c>
    </row>
    <row r="55" spans="1:20" s="78" customFormat="1" ht="15" hidden="1" customHeight="1">
      <c r="A55" s="78" t="s">
        <v>197</v>
      </c>
      <c r="B55" s="78" t="s">
        <v>79</v>
      </c>
      <c r="C55" s="79"/>
      <c r="D55" s="80">
        <v>44561</v>
      </c>
      <c r="E55" s="86" t="s">
        <v>190</v>
      </c>
      <c r="F55" s="148"/>
      <c r="G55" s="81"/>
      <c r="H55" s="82">
        <v>1000</v>
      </c>
      <c r="I55" s="66">
        <f t="shared" si="4"/>
        <v>-31061.71</v>
      </c>
      <c r="J55" s="84" t="s">
        <v>234</v>
      </c>
      <c r="K55" s="20">
        <v>6071</v>
      </c>
      <c r="L55" s="74" t="str">
        <f>VLOOKUP($J55,'2 CODIFICATION'!A$5:B$17,2,"FAUX")</f>
        <v>DASSOUTE TEUILLAC COLLEGE</v>
      </c>
      <c r="M55" s="74" t="str">
        <f>VLOOKUP($K55,'2 CODIFICATION'!D$8:E$64,2,"FAUX")</f>
        <v>Achats fournitures et matériels</v>
      </c>
      <c r="N55" s="85">
        <v>611000</v>
      </c>
      <c r="O55" s="14">
        <f>G55-H55</f>
        <v>-1000</v>
      </c>
      <c r="P55" s="84">
        <f>YEAR(D55)</f>
        <v>2021</v>
      </c>
      <c r="Q55" s="11" t="str">
        <f>VLOOKUP($N55,'2 CODIFICATION'!$G$5:$L$71,3,FALSE)</f>
        <v xml:space="preserve">Sous-traitance générale </v>
      </c>
      <c r="R55" s="53" t="str">
        <f>VLOOKUP($N55,'2 CODIFICATION'!$G$5:$L$71,4,FALSE)</f>
        <v>chges</v>
      </c>
      <c r="S55" s="53">
        <f>VLOOKUP($N55,'2 CODIFICATION'!$G$5:$L$71,5,FALSE)</f>
        <v>61</v>
      </c>
      <c r="T55" s="11" t="str">
        <f>VLOOKUP($N55,'2 CODIFICATION'!$G$5:$L$71,6,FALSE)</f>
        <v>Services extérieurs</v>
      </c>
    </row>
    <row r="56" spans="1:20" s="78" customFormat="1" ht="15" hidden="1" customHeight="1">
      <c r="A56" s="78" t="s">
        <v>197</v>
      </c>
      <c r="B56" s="78" t="s">
        <v>79</v>
      </c>
      <c r="C56" s="79"/>
      <c r="D56" s="80">
        <v>44561</v>
      </c>
      <c r="E56" s="79" t="s">
        <v>191</v>
      </c>
      <c r="F56" s="147"/>
      <c r="G56" s="81"/>
      <c r="H56" s="82">
        <v>3000</v>
      </c>
      <c r="I56" s="66">
        <f t="shared" si="4"/>
        <v>-34061.71</v>
      </c>
      <c r="J56" s="84" t="s">
        <v>173</v>
      </c>
      <c r="K56" s="20">
        <f t="shared" si="3"/>
        <v>6110</v>
      </c>
      <c r="L56" s="74" t="str">
        <f>VLOOKUP($J56,'2 CODIFICATION'!A$5:B$17,2,"FAUX")</f>
        <v>PROJET VACANCES OUVERTES</v>
      </c>
      <c r="M56" s="74" t="str">
        <f>VLOOKUP($K56,'2 CODIFICATION'!D$8:E$64,2,"FAUX")</f>
        <v>Sous traitance projet</v>
      </c>
      <c r="N56" s="85">
        <v>611000</v>
      </c>
      <c r="O56" s="14">
        <f t="shared" si="6"/>
        <v>-3000</v>
      </c>
      <c r="P56" s="84">
        <f t="shared" si="5"/>
        <v>2021</v>
      </c>
      <c r="Q56" s="11" t="str">
        <f>VLOOKUP($N56,'2 CODIFICATION'!$G$5:$L$71,3,FALSE)</f>
        <v xml:space="preserve">Sous-traitance générale </v>
      </c>
      <c r="R56" s="53" t="str">
        <f>VLOOKUP($N56,'2 CODIFICATION'!$G$5:$L$71,4,FALSE)</f>
        <v>chges</v>
      </c>
      <c r="S56" s="53">
        <f>VLOOKUP($N56,'2 CODIFICATION'!$G$5:$L$71,5,FALSE)</f>
        <v>61</v>
      </c>
      <c r="T56" s="11" t="str">
        <f>VLOOKUP($N56,'2 CODIFICATION'!$G$5:$L$71,6,FALSE)</f>
        <v>Services extérieurs</v>
      </c>
    </row>
    <row r="57" spans="1:20" s="78" customFormat="1" ht="15" hidden="1" customHeight="1">
      <c r="A57" s="78" t="s">
        <v>197</v>
      </c>
      <c r="B57" s="78" t="s">
        <v>79</v>
      </c>
      <c r="C57" s="79"/>
      <c r="D57" s="80">
        <v>44561</v>
      </c>
      <c r="E57" s="79" t="s">
        <v>193</v>
      </c>
      <c r="F57" s="147"/>
      <c r="G57" s="81"/>
      <c r="H57" s="82">
        <v>4000</v>
      </c>
      <c r="I57" s="66">
        <f t="shared" si="4"/>
        <v>-38061.71</v>
      </c>
      <c r="J57" s="84" t="s">
        <v>198</v>
      </c>
      <c r="K57" s="20">
        <f t="shared" si="3"/>
        <v>8640</v>
      </c>
      <c r="L57" s="74" t="str">
        <f>VLOOKUP($J57,'2 CODIFICATION'!A$5:B$17,2,"FAUX")</f>
        <v>HYGIENE MENSTRUELLE</v>
      </c>
      <c r="M57" s="74" t="str">
        <f>VLOOKUP($K57,'2 CODIFICATION'!D$8:E$64,2,"FAUX")</f>
        <v>Personnels bénévoles</v>
      </c>
      <c r="N57" s="85">
        <v>864000</v>
      </c>
      <c r="O57" s="14">
        <f t="shared" si="6"/>
        <v>-4000</v>
      </c>
      <c r="P57" s="84">
        <f t="shared" si="5"/>
        <v>2021</v>
      </c>
      <c r="Q57" s="11" t="str">
        <f>VLOOKUP($N57,'2 CODIFICATION'!$G$5:$L$71,3,FALSE)</f>
        <v>Personnels bénévoles</v>
      </c>
      <c r="R57" s="53" t="str">
        <f>VLOOKUP($N57,'2 CODIFICATION'!$G$5:$L$71,4,FALSE)</f>
        <v>chges</v>
      </c>
      <c r="S57" s="53">
        <f>VLOOKUP($N57,'2 CODIFICATION'!$G$5:$L$71,5,FALSE)</f>
        <v>86</v>
      </c>
      <c r="T57" s="11" t="str">
        <f>VLOOKUP($N57,'2 CODIFICATION'!$G$5:$L$71,6,FALSE)</f>
        <v>Contributions volontaires</v>
      </c>
    </row>
    <row r="58" spans="1:20" s="78" customFormat="1" ht="15" hidden="1" customHeight="1">
      <c r="A58" s="78" t="s">
        <v>197</v>
      </c>
      <c r="B58" s="78" t="s">
        <v>79</v>
      </c>
      <c r="C58" s="79"/>
      <c r="D58" s="80">
        <v>44561</v>
      </c>
      <c r="E58" s="79" t="s">
        <v>195</v>
      </c>
      <c r="F58" s="147"/>
      <c r="G58" s="81"/>
      <c r="H58" s="82">
        <v>8440</v>
      </c>
      <c r="I58" s="66">
        <f t="shared" si="4"/>
        <v>-46501.71</v>
      </c>
      <c r="J58" s="74" t="s">
        <v>273</v>
      </c>
      <c r="K58" s="20">
        <f t="shared" si="3"/>
        <v>8640</v>
      </c>
      <c r="L58" s="74" t="str">
        <f>VLOOKUP($J58,'2 CODIFICATION'!A$5:B$17,2,"FAUX")</f>
        <v>ADMINIST ET FONCT</v>
      </c>
      <c r="M58" s="74" t="str">
        <f>VLOOKUP($K58,'2 CODIFICATION'!D$8:E$64,2,"FAUX")</f>
        <v>Personnels bénévoles</v>
      </c>
      <c r="N58" s="85">
        <v>864000</v>
      </c>
      <c r="O58" s="14">
        <f t="shared" si="6"/>
        <v>-8440</v>
      </c>
      <c r="P58" s="84">
        <f t="shared" si="5"/>
        <v>2021</v>
      </c>
      <c r="Q58" s="11" t="str">
        <f>VLOOKUP($N58,'2 CODIFICATION'!$G$5:$L$71,3,FALSE)</f>
        <v>Personnels bénévoles</v>
      </c>
      <c r="R58" s="53" t="str">
        <f>VLOOKUP($N58,'2 CODIFICATION'!$G$5:$L$71,4,FALSE)</f>
        <v>chges</v>
      </c>
      <c r="S58" s="53">
        <f>VLOOKUP($N58,'2 CODIFICATION'!$G$5:$L$71,5,FALSE)</f>
        <v>86</v>
      </c>
      <c r="T58" s="11" t="str">
        <f>VLOOKUP($N58,'2 CODIFICATION'!$G$5:$L$71,6,FALSE)</f>
        <v>Contributions volontaires</v>
      </c>
    </row>
    <row r="59" spans="1:20" s="78" customFormat="1" ht="15" hidden="1" customHeight="1">
      <c r="A59" s="78" t="s">
        <v>197</v>
      </c>
      <c r="B59" s="78" t="s">
        <v>79</v>
      </c>
      <c r="C59" s="79"/>
      <c r="D59" s="80">
        <v>44561</v>
      </c>
      <c r="E59" s="79" t="s">
        <v>180</v>
      </c>
      <c r="F59" s="147"/>
      <c r="G59" s="81">
        <v>1000</v>
      </c>
      <c r="H59" s="82"/>
      <c r="I59" s="66">
        <f t="shared" si="4"/>
        <v>-45501.71</v>
      </c>
      <c r="J59" s="74" t="s">
        <v>273</v>
      </c>
      <c r="K59" s="20">
        <f t="shared" si="3"/>
        <v>7080</v>
      </c>
      <c r="L59" s="74" t="str">
        <f>VLOOKUP($J59,'2 CODIFICATION'!A$5:B$17,2,"FAUX")</f>
        <v>ADMINIST ET FONCT</v>
      </c>
      <c r="M59" s="74" t="str">
        <f>VLOOKUP($K59,'2 CODIFICATION'!D$8:E$64,2,"FAUX")</f>
        <v>produits activités annexes</v>
      </c>
      <c r="N59" s="85">
        <v>708000</v>
      </c>
      <c r="O59" s="14">
        <f t="shared" si="6"/>
        <v>1000</v>
      </c>
      <c r="P59" s="84">
        <f t="shared" si="5"/>
        <v>2021</v>
      </c>
      <c r="Q59" s="11" t="str">
        <f>VLOOKUP($N59,'2 CODIFICATION'!$G$5:$L$71,3,FALSE)</f>
        <v>Produits des activités annexes</v>
      </c>
      <c r="R59" s="53" t="str">
        <f>VLOOKUP($N59,'2 CODIFICATION'!$G$5:$L$71,4,FALSE)</f>
        <v>pdts</v>
      </c>
      <c r="S59" s="53">
        <f>VLOOKUP($N59,'2 CODIFICATION'!$G$5:$L$71,5,FALSE)</f>
        <v>70</v>
      </c>
      <c r="T59" s="11" t="str">
        <f>VLOOKUP($N59,'2 CODIFICATION'!$G$5:$L$71,6,FALSE)</f>
        <v>Ventes et prestations de services</v>
      </c>
    </row>
    <row r="60" spans="1:20" s="78" customFormat="1" ht="15" hidden="1" customHeight="1">
      <c r="A60" s="78" t="s">
        <v>197</v>
      </c>
      <c r="B60" s="78" t="s">
        <v>79</v>
      </c>
      <c r="C60" s="79"/>
      <c r="D60" s="80">
        <v>44561</v>
      </c>
      <c r="E60" s="79" t="s">
        <v>60</v>
      </c>
      <c r="F60" s="147"/>
      <c r="G60" s="81">
        <v>1500</v>
      </c>
      <c r="H60" s="82"/>
      <c r="I60" s="66">
        <f t="shared" si="4"/>
        <v>-44001.71</v>
      </c>
      <c r="J60" s="84" t="s">
        <v>198</v>
      </c>
      <c r="K60" s="20">
        <f t="shared" si="3"/>
        <v>7088</v>
      </c>
      <c r="L60" s="74" t="str">
        <f>VLOOKUP($J60,'2 CODIFICATION'!A$5:B$17,2,"FAUX")</f>
        <v>HYGIENE MENSTRUELLE</v>
      </c>
      <c r="M60" s="74" t="str">
        <f>VLOOKUP($K60,'2 CODIFICATION'!D$8:E$64,2,"FAUX")</f>
        <v>produits divers</v>
      </c>
      <c r="N60" s="85">
        <v>708800</v>
      </c>
      <c r="O60" s="14">
        <f t="shared" si="6"/>
        <v>1500</v>
      </c>
      <c r="P60" s="84">
        <f t="shared" si="5"/>
        <v>2021</v>
      </c>
      <c r="Q60" s="11" t="str">
        <f>VLOOKUP($N60,'2 CODIFICATION'!$G$5:$L$71,3,FALSE)</f>
        <v>Divers</v>
      </c>
      <c r="R60" s="53" t="str">
        <f>VLOOKUP($N60,'2 CODIFICATION'!$G$5:$L$71,4,FALSE)</f>
        <v>pdts</v>
      </c>
      <c r="S60" s="53">
        <f>VLOOKUP($N60,'2 CODIFICATION'!$G$5:$L$71,5,FALSE)</f>
        <v>70</v>
      </c>
      <c r="T60" s="11" t="str">
        <f>VLOOKUP($N60,'2 CODIFICATION'!$G$5:$L$71,6,FALSE)</f>
        <v>Subventions d'exploitation</v>
      </c>
    </row>
    <row r="61" spans="1:20" s="78" customFormat="1" ht="15" hidden="1" customHeight="1">
      <c r="A61" s="78" t="s">
        <v>197</v>
      </c>
      <c r="B61" s="78" t="s">
        <v>79</v>
      </c>
      <c r="C61" s="79"/>
      <c r="D61" s="80">
        <v>44561</v>
      </c>
      <c r="E61" s="79" t="s">
        <v>181</v>
      </c>
      <c r="F61" s="147"/>
      <c r="G61" s="81">
        <v>3000</v>
      </c>
      <c r="H61" s="82"/>
      <c r="I61" s="66">
        <f t="shared" si="4"/>
        <v>-41001.71</v>
      </c>
      <c r="J61" s="84" t="s">
        <v>173</v>
      </c>
      <c r="K61" s="20">
        <f t="shared" si="3"/>
        <v>7080</v>
      </c>
      <c r="L61" s="74" t="str">
        <f>VLOOKUP($J61,'2 CODIFICATION'!A$5:B$17,2,"FAUX")</f>
        <v>PROJET VACANCES OUVERTES</v>
      </c>
      <c r="M61" s="74" t="str">
        <f>VLOOKUP($K61,'2 CODIFICATION'!D$8:E$64,2,"FAUX")</f>
        <v>produits activités annexes</v>
      </c>
      <c r="N61" s="85">
        <v>708000</v>
      </c>
      <c r="O61" s="14">
        <f t="shared" si="6"/>
        <v>3000</v>
      </c>
      <c r="P61" s="84">
        <f t="shared" si="5"/>
        <v>2021</v>
      </c>
      <c r="Q61" s="11" t="str">
        <f>VLOOKUP($N61,'2 CODIFICATION'!$G$5:$L$71,3,FALSE)</f>
        <v>Produits des activités annexes</v>
      </c>
      <c r="R61" s="53" t="str">
        <f>VLOOKUP($N61,'2 CODIFICATION'!$G$5:$L$71,4,FALSE)</f>
        <v>pdts</v>
      </c>
      <c r="S61" s="53">
        <f>VLOOKUP($N61,'2 CODIFICATION'!$G$5:$L$71,5,FALSE)</f>
        <v>70</v>
      </c>
      <c r="T61" s="11" t="str">
        <f>VLOOKUP($N61,'2 CODIFICATION'!$G$5:$L$71,6,FALSE)</f>
        <v>Ventes et prestations de services</v>
      </c>
    </row>
    <row r="62" spans="1:20" s="78" customFormat="1" ht="15" hidden="1" customHeight="1">
      <c r="A62" s="78" t="s">
        <v>197</v>
      </c>
      <c r="B62" s="78" t="s">
        <v>79</v>
      </c>
      <c r="C62" s="79"/>
      <c r="D62" s="80">
        <v>44561</v>
      </c>
      <c r="E62" s="79" t="s">
        <v>183</v>
      </c>
      <c r="F62" s="147"/>
      <c r="G62" s="81">
        <v>12000</v>
      </c>
      <c r="H62" s="82"/>
      <c r="I62" s="66">
        <f t="shared" si="4"/>
        <v>-29001.71</v>
      </c>
      <c r="J62" s="84" t="s">
        <v>198</v>
      </c>
      <c r="K62" s="20">
        <f t="shared" si="3"/>
        <v>7420</v>
      </c>
      <c r="L62" s="74" t="str">
        <f>VLOOKUP($J62,'2 CODIFICATION'!A$5:B$17,2,"FAUX")</f>
        <v>HYGIENE MENSTRUELLE</v>
      </c>
      <c r="M62" s="74" t="str">
        <f>VLOOKUP($K62,'2 CODIFICATION'!D$8:E$64,2,"FAUX")</f>
        <v>Subvention Agence Micro Projet</v>
      </c>
      <c r="N62" s="85">
        <v>742000</v>
      </c>
      <c r="O62" s="14">
        <f t="shared" si="6"/>
        <v>12000</v>
      </c>
      <c r="P62" s="84">
        <f t="shared" si="5"/>
        <v>2021</v>
      </c>
      <c r="Q62" s="11" t="str">
        <f>VLOOKUP($N62,'2 CODIFICATION'!$G$5:$L$71,3,FALSE)</f>
        <v>AMP-GRATITUDE</v>
      </c>
      <c r="R62" s="53" t="str">
        <f>VLOOKUP($N62,'2 CODIFICATION'!$G$5:$L$71,4,FALSE)</f>
        <v>pdts</v>
      </c>
      <c r="S62" s="53">
        <f>VLOOKUP($N62,'2 CODIFICATION'!$G$5:$L$71,5,FALSE)</f>
        <v>74</v>
      </c>
      <c r="T62" s="11" t="str">
        <f>VLOOKUP($N62,'2 CODIFICATION'!$G$5:$L$71,6,FALSE)</f>
        <v>Subventions d'exploitation</v>
      </c>
    </row>
    <row r="63" spans="1:20" s="78" customFormat="1" ht="15" hidden="1" customHeight="1">
      <c r="A63" s="78" t="s">
        <v>197</v>
      </c>
      <c r="B63" s="78" t="s">
        <v>79</v>
      </c>
      <c r="C63" s="79"/>
      <c r="D63" s="80">
        <v>44561</v>
      </c>
      <c r="E63" s="79" t="s">
        <v>184</v>
      </c>
      <c r="F63" s="147"/>
      <c r="G63" s="81">
        <v>10000</v>
      </c>
      <c r="H63" s="82"/>
      <c r="I63" s="66">
        <f t="shared" si="4"/>
        <v>-19001.71</v>
      </c>
      <c r="J63" s="84" t="s">
        <v>198</v>
      </c>
      <c r="K63" s="20">
        <f t="shared" si="3"/>
        <v>7410</v>
      </c>
      <c r="L63" s="74" t="str">
        <f>VLOOKUP($J63,'2 CODIFICATION'!A$5:B$17,2,"FAUX")</f>
        <v>HYGIENE MENSTRUELLE</v>
      </c>
      <c r="M63" s="74" t="str">
        <f>VLOOKUP($K63,'2 CODIFICATION'!D$8:E$64,2,"FAUX")</f>
        <v>Subventions Région Nouvelle Aquitaine</v>
      </c>
      <c r="N63" s="85">
        <v>741000</v>
      </c>
      <c r="O63" s="14">
        <f t="shared" si="6"/>
        <v>10000</v>
      </c>
      <c r="P63" s="84">
        <f t="shared" si="5"/>
        <v>2021</v>
      </c>
      <c r="Q63" s="11" t="str">
        <f>VLOOKUP($N63,'2 CODIFICATION'!$G$5:$L$71,3,FALSE)</f>
        <v>Région Nouvelle-Aquitaine</v>
      </c>
      <c r="R63" s="53" t="str">
        <f>VLOOKUP($N63,'2 CODIFICATION'!$G$5:$L$71,4,FALSE)</f>
        <v>pdts</v>
      </c>
      <c r="S63" s="53">
        <f>VLOOKUP($N63,'2 CODIFICATION'!$G$5:$L$71,5,FALSE)</f>
        <v>74</v>
      </c>
      <c r="T63" s="11" t="str">
        <f>VLOOKUP($N63,'2 CODIFICATION'!$G$5:$L$71,6,FALSE)</f>
        <v>Subventions d'exploitation</v>
      </c>
    </row>
    <row r="64" spans="1:20" s="78" customFormat="1" ht="15" hidden="1" customHeight="1">
      <c r="A64" s="78" t="s">
        <v>197</v>
      </c>
      <c r="B64" s="78" t="s">
        <v>79</v>
      </c>
      <c r="C64" s="79"/>
      <c r="D64" s="80">
        <v>44561</v>
      </c>
      <c r="E64" s="87" t="s">
        <v>185</v>
      </c>
      <c r="F64" s="149"/>
      <c r="G64" s="81">
        <v>3000</v>
      </c>
      <c r="H64" s="82"/>
      <c r="I64" s="66">
        <f t="shared" si="4"/>
        <v>-16001.71</v>
      </c>
      <c r="J64" s="84" t="s">
        <v>232</v>
      </c>
      <c r="K64" s="20">
        <v>7771</v>
      </c>
      <c r="L64" s="74" t="str">
        <f>VLOOKUP($J64,'2 CODIFICATION'!A$5:B$17,2,"FAUX")</f>
        <v>DASSOUTE TEUILLAC CONST ECOLE</v>
      </c>
      <c r="M64" s="74" t="str">
        <f>VLOOKUP($K64,'2 CODIFICATION'!D$8:E$64,2,"FAUX")</f>
        <v>Dons et participations à l"association</v>
      </c>
      <c r="N64" s="85">
        <v>748000</v>
      </c>
      <c r="O64" s="14">
        <f t="shared" si="6"/>
        <v>3000</v>
      </c>
      <c r="P64" s="84">
        <f t="shared" si="5"/>
        <v>2021</v>
      </c>
      <c r="Q64" s="11" t="str">
        <f>VLOOKUP($N64,'2 CODIFICATION'!$G$5:$L$71,3,FALSE)</f>
        <v>Mairie de Teuillac</v>
      </c>
      <c r="R64" s="53" t="str">
        <f>VLOOKUP($N64,'2 CODIFICATION'!$G$5:$L$71,4,FALSE)</f>
        <v>pdts</v>
      </c>
      <c r="S64" s="53">
        <f>VLOOKUP($N64,'2 CODIFICATION'!$G$5:$L$71,5,FALSE)</f>
        <v>74</v>
      </c>
      <c r="T64" s="11" t="str">
        <f>VLOOKUP($N64,'2 CODIFICATION'!$G$5:$L$71,6,FALSE)</f>
        <v>Subventions d'exploitation</v>
      </c>
    </row>
    <row r="65" spans="1:20" s="78" customFormat="1" ht="15" hidden="1" customHeight="1">
      <c r="A65" s="78" t="s">
        <v>197</v>
      </c>
      <c r="B65" s="78" t="s">
        <v>79</v>
      </c>
      <c r="C65" s="79"/>
      <c r="D65" s="80">
        <v>44561</v>
      </c>
      <c r="E65" s="87" t="s">
        <v>185</v>
      </c>
      <c r="F65" s="149"/>
      <c r="G65" s="81">
        <v>1000</v>
      </c>
      <c r="H65" s="82"/>
      <c r="I65" s="66">
        <f t="shared" si="4"/>
        <v>-15001.71</v>
      </c>
      <c r="J65" s="84" t="s">
        <v>307</v>
      </c>
      <c r="K65" s="20">
        <v>7771</v>
      </c>
      <c r="L65" s="74" t="str">
        <f>VLOOKUP($J65,'2 CODIFICATION'!A$5:B$17,2,"FAUX")</f>
        <v>DASSOUTE TEUILLAC FOURN SCOLAIRES</v>
      </c>
      <c r="M65" s="74" t="str">
        <f>VLOOKUP($K65,'2 CODIFICATION'!D$8:E$64,2,"FAUX")</f>
        <v>Dons et participations à l"association</v>
      </c>
      <c r="N65" s="85">
        <v>748000</v>
      </c>
      <c r="O65" s="14">
        <f>G65-H65</f>
        <v>1000</v>
      </c>
      <c r="P65" s="84">
        <f>YEAR(D65)</f>
        <v>2021</v>
      </c>
      <c r="Q65" s="11" t="str">
        <f>VLOOKUP($N65,'2 CODIFICATION'!$G$5:$L$71,3,FALSE)</f>
        <v>Mairie de Teuillac</v>
      </c>
      <c r="R65" s="53" t="str">
        <f>VLOOKUP($N65,'2 CODIFICATION'!$G$5:$L$71,4,FALSE)</f>
        <v>pdts</v>
      </c>
      <c r="S65" s="53">
        <f>VLOOKUP($N65,'2 CODIFICATION'!$G$5:$L$71,5,FALSE)</f>
        <v>74</v>
      </c>
      <c r="T65" s="11" t="str">
        <f>VLOOKUP($N65,'2 CODIFICATION'!$G$5:$L$71,6,FALSE)</f>
        <v>Subventions d'exploitation</v>
      </c>
    </row>
    <row r="66" spans="1:20" s="78" customFormat="1" ht="15" hidden="1" customHeight="1">
      <c r="A66" s="78" t="s">
        <v>197</v>
      </c>
      <c r="B66" s="78" t="s">
        <v>79</v>
      </c>
      <c r="C66" s="79"/>
      <c r="D66" s="80">
        <v>44561</v>
      </c>
      <c r="E66" s="87" t="s">
        <v>185</v>
      </c>
      <c r="F66" s="149"/>
      <c r="G66" s="81">
        <v>1000</v>
      </c>
      <c r="H66" s="82"/>
      <c r="I66" s="66">
        <f t="shared" si="4"/>
        <v>-14001.71</v>
      </c>
      <c r="J66" s="84" t="s">
        <v>308</v>
      </c>
      <c r="K66" s="20">
        <v>7771</v>
      </c>
      <c r="L66" s="74" t="str">
        <f>VLOOKUP($J66,'2 CODIFICATION'!A$5:B$17,2,"FAUX")</f>
        <v>DASSOUTE TEUILLAC MARAICHAGE</v>
      </c>
      <c r="M66" s="74" t="str">
        <f>VLOOKUP($K66,'2 CODIFICATION'!D$8:E$64,2,"FAUX")</f>
        <v>Dons et participations à l"association</v>
      </c>
      <c r="N66" s="85">
        <v>748000</v>
      </c>
      <c r="O66" s="14">
        <f>G66-H66</f>
        <v>1000</v>
      </c>
      <c r="P66" s="84">
        <f>YEAR(D66)</f>
        <v>2021</v>
      </c>
      <c r="Q66" s="11" t="str">
        <f>VLOOKUP($N66,'2 CODIFICATION'!$G$5:$L$71,3,FALSE)</f>
        <v>Mairie de Teuillac</v>
      </c>
      <c r="R66" s="53" t="str">
        <f>VLOOKUP($N66,'2 CODIFICATION'!$G$5:$L$71,4,FALSE)</f>
        <v>pdts</v>
      </c>
      <c r="S66" s="53">
        <f>VLOOKUP($N66,'2 CODIFICATION'!$G$5:$L$71,5,FALSE)</f>
        <v>74</v>
      </c>
      <c r="T66" s="11" t="str">
        <f>VLOOKUP($N66,'2 CODIFICATION'!$G$5:$L$71,6,FALSE)</f>
        <v>Subventions d'exploitation</v>
      </c>
    </row>
    <row r="67" spans="1:20" s="78" customFormat="1" ht="15" hidden="1" customHeight="1">
      <c r="A67" s="78" t="s">
        <v>197</v>
      </c>
      <c r="B67" s="78" t="s">
        <v>79</v>
      </c>
      <c r="C67" s="79"/>
      <c r="D67" s="80">
        <v>44561</v>
      </c>
      <c r="E67" s="87" t="s">
        <v>185</v>
      </c>
      <c r="F67" s="149"/>
      <c r="G67" s="81">
        <v>1000</v>
      </c>
      <c r="H67" s="82"/>
      <c r="I67" s="66">
        <f t="shared" si="4"/>
        <v>-13001.71</v>
      </c>
      <c r="J67" s="84" t="s">
        <v>234</v>
      </c>
      <c r="K67" s="20">
        <v>7771</v>
      </c>
      <c r="L67" s="74" t="str">
        <f>VLOOKUP($J67,'2 CODIFICATION'!A$5:B$17,2,"FAUX")</f>
        <v>DASSOUTE TEUILLAC COLLEGE</v>
      </c>
      <c r="M67" s="74" t="str">
        <f>VLOOKUP($K67,'2 CODIFICATION'!D$8:E$64,2,"FAUX")</f>
        <v>Dons et participations à l"association</v>
      </c>
      <c r="N67" s="85">
        <v>748000</v>
      </c>
      <c r="O67" s="14">
        <f>G67-H67</f>
        <v>1000</v>
      </c>
      <c r="P67" s="84">
        <f>YEAR(D67)</f>
        <v>2021</v>
      </c>
      <c r="Q67" s="11" t="str">
        <f>VLOOKUP($N67,'2 CODIFICATION'!$G$5:$L$71,3,FALSE)</f>
        <v>Mairie de Teuillac</v>
      </c>
      <c r="R67" s="53" t="str">
        <f>VLOOKUP($N67,'2 CODIFICATION'!$G$5:$L$71,4,FALSE)</f>
        <v>pdts</v>
      </c>
      <c r="S67" s="53">
        <f>VLOOKUP($N67,'2 CODIFICATION'!$G$5:$L$71,5,FALSE)</f>
        <v>74</v>
      </c>
      <c r="T67" s="11" t="str">
        <f>VLOOKUP($N67,'2 CODIFICATION'!$G$5:$L$71,6,FALSE)</f>
        <v>Subventions d'exploitation</v>
      </c>
    </row>
    <row r="68" spans="1:20" s="78" customFormat="1" ht="15" hidden="1" customHeight="1">
      <c r="A68" s="78" t="s">
        <v>197</v>
      </c>
      <c r="B68" s="78" t="s">
        <v>79</v>
      </c>
      <c r="C68" s="79"/>
      <c r="D68" s="80">
        <v>44561</v>
      </c>
      <c r="E68" s="87" t="s">
        <v>186</v>
      </c>
      <c r="F68" s="149"/>
      <c r="G68" s="81">
        <v>800</v>
      </c>
      <c r="H68" s="82"/>
      <c r="I68" s="66">
        <f t="shared" si="4"/>
        <v>-12201.71</v>
      </c>
      <c r="J68" s="74" t="s">
        <v>273</v>
      </c>
      <c r="K68" s="20">
        <f t="shared" si="3"/>
        <v>7581</v>
      </c>
      <c r="L68" s="74" t="str">
        <f>VLOOKUP($J68,'2 CODIFICATION'!A$5:B$17,2,"FAUX")</f>
        <v>ADMINIST ET FONCT</v>
      </c>
      <c r="M68" s="74" t="str">
        <f>VLOOKUP($K68,'2 CODIFICATION'!D$8:E$64,2,"FAUX")</f>
        <v>Adhésions association</v>
      </c>
      <c r="N68" s="85">
        <v>758100</v>
      </c>
      <c r="O68" s="14">
        <f t="shared" si="6"/>
        <v>800</v>
      </c>
      <c r="P68" s="84">
        <f t="shared" si="5"/>
        <v>2021</v>
      </c>
      <c r="Q68" s="11" t="str">
        <f>VLOOKUP($N68,'2 CODIFICATION'!$G$5:$L$71,3,FALSE)</f>
        <v>Cotisations individuelles et associatives</v>
      </c>
      <c r="R68" s="53" t="str">
        <f>VLOOKUP($N68,'2 CODIFICATION'!$G$5:$L$71,4,FALSE)</f>
        <v>pdts</v>
      </c>
      <c r="S68" s="53">
        <f>VLOOKUP($N68,'2 CODIFICATION'!$G$5:$L$71,5,FALSE)</f>
        <v>75</v>
      </c>
      <c r="T68" s="11" t="str">
        <f>VLOOKUP($N68,'2 CODIFICATION'!$G$5:$L$71,6,FALSE)</f>
        <v>Autres produits de gestion courante</v>
      </c>
    </row>
    <row r="69" spans="1:20" s="78" customFormat="1" ht="15" hidden="1" customHeight="1">
      <c r="A69" s="78" t="s">
        <v>197</v>
      </c>
      <c r="B69" s="78" t="s">
        <v>79</v>
      </c>
      <c r="C69" s="79"/>
      <c r="D69" s="80">
        <v>44561</v>
      </c>
      <c r="E69" s="87" t="s">
        <v>192</v>
      </c>
      <c r="F69" s="149"/>
      <c r="G69" s="81">
        <v>100</v>
      </c>
      <c r="H69" s="82"/>
      <c r="I69" s="66">
        <f t="shared" si="4"/>
        <v>-12101.71</v>
      </c>
      <c r="J69" s="74" t="s">
        <v>273</v>
      </c>
      <c r="K69" s="20">
        <f t="shared" si="3"/>
        <v>7581</v>
      </c>
      <c r="L69" s="74" t="str">
        <f>VLOOKUP($J69,'2 CODIFICATION'!A$5:B$17,2,"FAUX")</f>
        <v>ADMINIST ET FONCT</v>
      </c>
      <c r="M69" s="74" t="str">
        <f>VLOOKUP($K69,'2 CODIFICATION'!D$8:E$64,2,"FAUX")</f>
        <v>Adhésions association</v>
      </c>
      <c r="N69" s="85">
        <v>758100</v>
      </c>
      <c r="O69" s="14">
        <f t="shared" si="6"/>
        <v>100</v>
      </c>
      <c r="P69" s="84">
        <f t="shared" si="5"/>
        <v>2021</v>
      </c>
      <c r="Q69" s="11" t="str">
        <f>VLOOKUP($N69,'2 CODIFICATION'!$G$5:$L$71,3,FALSE)</f>
        <v>Cotisations individuelles et associatives</v>
      </c>
      <c r="R69" s="53" t="str">
        <f>VLOOKUP($N69,'2 CODIFICATION'!$G$5:$L$71,4,FALSE)</f>
        <v>pdts</v>
      </c>
      <c r="S69" s="53">
        <f>VLOOKUP($N69,'2 CODIFICATION'!$G$5:$L$71,5,FALSE)</f>
        <v>75</v>
      </c>
      <c r="T69" s="11" t="str">
        <f>VLOOKUP($N69,'2 CODIFICATION'!$G$5:$L$71,6,FALSE)</f>
        <v>Autres produits de gestion courante</v>
      </c>
    </row>
    <row r="70" spans="1:20" s="78" customFormat="1" ht="15" hidden="1" customHeight="1">
      <c r="A70" s="78" t="s">
        <v>197</v>
      </c>
      <c r="B70" s="78" t="s">
        <v>79</v>
      </c>
      <c r="C70" s="79"/>
      <c r="D70" s="80">
        <v>44561</v>
      </c>
      <c r="E70" s="87" t="s">
        <v>194</v>
      </c>
      <c r="F70" s="149"/>
      <c r="G70" s="81">
        <v>4000</v>
      </c>
      <c r="H70" s="82"/>
      <c r="I70" s="66">
        <f t="shared" si="4"/>
        <v>-8101.7099999999991</v>
      </c>
      <c r="J70" s="84" t="s">
        <v>198</v>
      </c>
      <c r="K70" s="20">
        <f t="shared" si="3"/>
        <v>8700</v>
      </c>
      <c r="L70" s="74" t="str">
        <f>VLOOKUP($J70,'2 CODIFICATION'!A$5:B$17,2,"FAUX")</f>
        <v>HYGIENE MENSTRUELLE</v>
      </c>
      <c r="M70" s="74" t="str">
        <f>VLOOKUP($K70,'2 CODIFICATION'!D$8:E$64,2,"FAUX")</f>
        <v>Bénévolat</v>
      </c>
      <c r="N70" s="161">
        <v>870000</v>
      </c>
      <c r="O70" s="14">
        <f t="shared" si="6"/>
        <v>4000</v>
      </c>
      <c r="P70" s="84">
        <f t="shared" si="5"/>
        <v>2021</v>
      </c>
      <c r="Q70" s="11" t="str">
        <f>VLOOKUP($N70,'2 CODIFICATION'!$G$5:$L$71,3,FALSE)</f>
        <v>Bénévolat</v>
      </c>
      <c r="R70" s="53" t="str">
        <f>VLOOKUP($N70,'2 CODIFICATION'!$G$5:$L$71,4,FALSE)</f>
        <v>pdts</v>
      </c>
      <c r="S70" s="53">
        <f>VLOOKUP($N70,'2 CODIFICATION'!$G$5:$L$71,5,FALSE)</f>
        <v>87</v>
      </c>
      <c r="T70" s="11" t="str">
        <f>VLOOKUP($N70,'2 CODIFICATION'!$G$5:$L$71,6,FALSE)</f>
        <v>Contributions volontaires</v>
      </c>
    </row>
    <row r="71" spans="1:20" s="78" customFormat="1" ht="15" hidden="1" customHeight="1" thickBot="1">
      <c r="A71" s="78" t="s">
        <v>197</v>
      </c>
      <c r="B71" s="78" t="s">
        <v>79</v>
      </c>
      <c r="C71" s="79"/>
      <c r="D71" s="80">
        <v>44561</v>
      </c>
      <c r="E71" s="87" t="s">
        <v>196</v>
      </c>
      <c r="F71" s="149"/>
      <c r="G71" s="81">
        <v>8440</v>
      </c>
      <c r="H71" s="82"/>
      <c r="I71" s="66">
        <f t="shared" si="4"/>
        <v>338.29000000000087</v>
      </c>
      <c r="J71" s="84" t="s">
        <v>273</v>
      </c>
      <c r="K71" s="20">
        <f t="shared" si="3"/>
        <v>8700</v>
      </c>
      <c r="L71" s="74" t="str">
        <f>VLOOKUP($J71,'2 CODIFICATION'!A$5:B$17,2,"FAUX")</f>
        <v>ADMINIST ET FONCT</v>
      </c>
      <c r="M71" s="74" t="str">
        <f>VLOOKUP($K71,'2 CODIFICATION'!D$8:E$64,2,"FAUX")</f>
        <v>Bénévolat</v>
      </c>
      <c r="N71" s="161">
        <v>870000</v>
      </c>
      <c r="O71" s="14">
        <f t="shared" si="6"/>
        <v>8440</v>
      </c>
      <c r="P71" s="84">
        <f t="shared" si="5"/>
        <v>2021</v>
      </c>
      <c r="Q71" s="11" t="str">
        <f>VLOOKUP($N71,'2 CODIFICATION'!$G$5:$L$71,3,FALSE)</f>
        <v>Bénévolat</v>
      </c>
      <c r="R71" s="53" t="str">
        <f>VLOOKUP($N71,'2 CODIFICATION'!$G$5:$L$71,4,FALSE)</f>
        <v>pdts</v>
      </c>
      <c r="S71" s="53">
        <f>VLOOKUP($N71,'2 CODIFICATION'!$G$5:$L$71,5,FALSE)</f>
        <v>87</v>
      </c>
      <c r="T71" s="11" t="str">
        <f>VLOOKUP($N71,'2 CODIFICATION'!$G$5:$L$71,6,FALSE)</f>
        <v>Contributions volontaires</v>
      </c>
    </row>
    <row r="72" spans="1:20" ht="15" hidden="1" customHeight="1" thickBot="1">
      <c r="A72" s="72" t="s">
        <v>170</v>
      </c>
      <c r="B72" s="29" t="s">
        <v>79</v>
      </c>
      <c r="C72" s="126">
        <v>1</v>
      </c>
      <c r="D72" s="122">
        <v>44197</v>
      </c>
      <c r="E72" s="58" t="s">
        <v>162</v>
      </c>
      <c r="F72" s="130"/>
      <c r="G72" s="125">
        <v>338.29</v>
      </c>
      <c r="H72" s="123"/>
      <c r="I72" s="274">
        <f>+G72</f>
        <v>338.29</v>
      </c>
      <c r="J72" s="163" t="s">
        <v>198</v>
      </c>
      <c r="K72" s="158">
        <v>5120</v>
      </c>
      <c r="L72" s="74" t="str">
        <f>VLOOKUP($J72,'2 CODIFICATION'!A$5:B$17,2,"FAUX")</f>
        <v>HYGIENE MENSTRUELLE</v>
      </c>
      <c r="M72" s="74" t="str">
        <f>VLOOKUP($K72,'2 CODIFICATION'!D$8:E$64,2,"FAUX")</f>
        <v>Banque</v>
      </c>
      <c r="N72" s="20">
        <v>512000</v>
      </c>
      <c r="O72" s="14">
        <f t="shared" si="6"/>
        <v>338.29</v>
      </c>
      <c r="P72" s="84">
        <f t="shared" si="5"/>
        <v>2021</v>
      </c>
      <c r="Q72" s="11" t="str">
        <f>VLOOKUP($N72,'2 CODIFICATION'!$G$5:$L$71,3,FALSE)</f>
        <v>Banque</v>
      </c>
      <c r="R72" s="53" t="str">
        <f>VLOOKUP($N72,'2 CODIFICATION'!$G$5:$L$71,4,FALSE)</f>
        <v>bilan</v>
      </c>
      <c r="S72" s="53">
        <f>VLOOKUP($N72,'2 CODIFICATION'!$G$5:$L$71,5,FALSE)</f>
        <v>50</v>
      </c>
      <c r="T72" s="11" t="str">
        <f>VLOOKUP($N72,'2 CODIFICATION'!$G$5:$L$71,6,FALSE)</f>
        <v>Trésorerie</v>
      </c>
    </row>
    <row r="73" spans="1:20" ht="15" hidden="1" customHeight="1" thickBot="1">
      <c r="A73" s="72" t="s">
        <v>170</v>
      </c>
      <c r="B73" s="29" t="s">
        <v>79</v>
      </c>
      <c r="C73" s="126">
        <v>1</v>
      </c>
      <c r="D73" s="122">
        <v>44197</v>
      </c>
      <c r="E73" s="58" t="s">
        <v>162</v>
      </c>
      <c r="F73" s="130"/>
      <c r="G73" s="125"/>
      <c r="H73" s="125">
        <f>-307.97+338.29</f>
        <v>30.319999999999993</v>
      </c>
      <c r="I73" s="66">
        <f t="shared" si="4"/>
        <v>307.97000000000003</v>
      </c>
      <c r="J73" s="163" t="s">
        <v>198</v>
      </c>
      <c r="K73" s="158">
        <v>6064</v>
      </c>
      <c r="L73" s="74" t="str">
        <f>VLOOKUP($J73,'2 CODIFICATION'!A$5:B$17,2,"FAUX")</f>
        <v>HYGIENE MENSTRUELLE</v>
      </c>
      <c r="M73" s="74" t="str">
        <f>VLOOKUP($K73,'2 CODIFICATION'!D$8:E$64,2,"FAUX")</f>
        <v>Frais de fonctionnement et fourniture</v>
      </c>
      <c r="N73" s="20">
        <v>606400</v>
      </c>
      <c r="O73" s="14">
        <f t="shared" ref="O73:O136" si="7">G73-H73</f>
        <v>-30.319999999999993</v>
      </c>
      <c r="P73" s="84">
        <f t="shared" ref="P73:P136" si="8">YEAR(D73)</f>
        <v>2021</v>
      </c>
      <c r="Q73" s="11" t="str">
        <f>VLOOKUP($N73,'2 CODIFICATION'!$G$5:$L$71,3,FALSE)</f>
        <v>Fournitures administratives</v>
      </c>
      <c r="R73" s="53" t="str">
        <f>VLOOKUP($N73,'2 CODIFICATION'!$G$5:$L$71,4,FALSE)</f>
        <v>chges</v>
      </c>
      <c r="S73" s="53">
        <f>VLOOKUP($N73,'2 CODIFICATION'!$G$5:$L$71,5,FALSE)</f>
        <v>60</v>
      </c>
      <c r="T73" s="11" t="str">
        <f>VLOOKUP($N73,'2 CODIFICATION'!$G$5:$L$71,6,FALSE)</f>
        <v>Achat</v>
      </c>
    </row>
    <row r="74" spans="1:20" ht="14.5" hidden="1" customHeight="1">
      <c r="A74" s="72" t="s">
        <v>170</v>
      </c>
      <c r="B74" s="29" t="s">
        <v>79</v>
      </c>
      <c r="C74" s="126">
        <v>1</v>
      </c>
      <c r="D74" s="76">
        <v>44207</v>
      </c>
      <c r="E74" s="107" t="s">
        <v>221</v>
      </c>
      <c r="F74" s="126" t="s">
        <v>253</v>
      </c>
      <c r="G74" s="230">
        <v>20</v>
      </c>
      <c r="H74" s="14"/>
      <c r="I74" s="66">
        <f t="shared" si="4"/>
        <v>327.97</v>
      </c>
      <c r="J74" s="163" t="s">
        <v>273</v>
      </c>
      <c r="K74" s="104">
        <v>7771</v>
      </c>
      <c r="L74" s="74" t="str">
        <f>VLOOKUP($J74,'2 CODIFICATION'!A$5:B$17,2,"FAUX")</f>
        <v>ADMINIST ET FONCT</v>
      </c>
      <c r="M74" s="74" t="str">
        <f>VLOOKUP($K74,'2 CODIFICATION'!D$8:E$64,2,"FAUX")</f>
        <v>Dons et participations à l"association</v>
      </c>
      <c r="N74" s="45">
        <f t="shared" ref="N74:N140" si="9">+K74*100</f>
        <v>777100</v>
      </c>
      <c r="O74" s="14">
        <f t="shared" si="7"/>
        <v>20</v>
      </c>
      <c r="P74" s="84">
        <f t="shared" si="8"/>
        <v>2021</v>
      </c>
      <c r="Q74" s="11" t="str">
        <f>VLOOKUP($N74,'2 CODIFICATION'!$G$5:$L$71,3,FALSE)</f>
        <v>Dons et autres mises à dispositions gratuites</v>
      </c>
      <c r="R74" s="53" t="str">
        <f>VLOOKUP($N74,'2 CODIFICATION'!$G$5:$L$71,4,FALSE)</f>
        <v>pdts</v>
      </c>
      <c r="S74" s="53">
        <f>VLOOKUP($N74,'2 CODIFICATION'!$G$5:$L$71,5,FALSE)</f>
        <v>77</v>
      </c>
      <c r="T74" s="11" t="str">
        <f>VLOOKUP($N74,'2 CODIFICATION'!$G$5:$L$71,6,FALSE)</f>
        <v>Produits exceptionnels</v>
      </c>
    </row>
    <row r="75" spans="1:20" ht="14.5" hidden="1" customHeight="1">
      <c r="A75" s="72" t="s">
        <v>170</v>
      </c>
      <c r="B75" s="29" t="s">
        <v>79</v>
      </c>
      <c r="C75" s="12">
        <f t="shared" ref="C75:C136" si="10">1+C74</f>
        <v>2</v>
      </c>
      <c r="D75" s="76">
        <v>44208</v>
      </c>
      <c r="E75" s="126" t="s">
        <v>238</v>
      </c>
      <c r="F75" s="126" t="s">
        <v>253</v>
      </c>
      <c r="G75" s="230">
        <v>180</v>
      </c>
      <c r="H75" s="14"/>
      <c r="I75" s="66">
        <f t="shared" si="4"/>
        <v>507.97</v>
      </c>
      <c r="J75" s="163" t="s">
        <v>273</v>
      </c>
      <c r="K75" s="104">
        <v>7581</v>
      </c>
      <c r="L75" s="74" t="str">
        <f>VLOOKUP($J75,'2 CODIFICATION'!A$5:B$17,2,"FAUX")</f>
        <v>ADMINIST ET FONCT</v>
      </c>
      <c r="M75" s="74" t="str">
        <f>VLOOKUP($K75,'2 CODIFICATION'!D$8:E$64,2,"FAUX")</f>
        <v>Adhésions association</v>
      </c>
      <c r="N75" s="45">
        <f t="shared" si="9"/>
        <v>758100</v>
      </c>
      <c r="O75" s="14">
        <f t="shared" si="7"/>
        <v>180</v>
      </c>
      <c r="P75" s="84">
        <f t="shared" si="8"/>
        <v>2021</v>
      </c>
      <c r="Q75" s="11" t="str">
        <f>VLOOKUP($N75,'2 CODIFICATION'!$G$5:$L$71,3,FALSE)</f>
        <v>Cotisations individuelles et associatives</v>
      </c>
      <c r="R75" s="53" t="str">
        <f>VLOOKUP($N75,'2 CODIFICATION'!$G$5:$L$71,4,FALSE)</f>
        <v>pdts</v>
      </c>
      <c r="S75" s="53">
        <f>VLOOKUP($N75,'2 CODIFICATION'!$G$5:$L$71,5,FALSE)</f>
        <v>75</v>
      </c>
      <c r="T75" s="11" t="str">
        <f>VLOOKUP($N75,'2 CODIFICATION'!$G$5:$L$71,6,FALSE)</f>
        <v>Autres produits de gestion courante</v>
      </c>
    </row>
    <row r="76" spans="1:20" ht="15" hidden="1" customHeight="1">
      <c r="A76" s="72" t="s">
        <v>170</v>
      </c>
      <c r="B76" s="29" t="s">
        <v>79</v>
      </c>
      <c r="C76" s="12">
        <f t="shared" si="10"/>
        <v>3</v>
      </c>
      <c r="D76" s="76">
        <v>44211</v>
      </c>
      <c r="E76" s="127" t="s">
        <v>239</v>
      </c>
      <c r="F76" s="127" t="s">
        <v>253</v>
      </c>
      <c r="G76" s="230">
        <v>50</v>
      </c>
      <c r="H76" s="14"/>
      <c r="I76" s="66">
        <f t="shared" si="4"/>
        <v>557.97</v>
      </c>
      <c r="J76" s="163" t="s">
        <v>273</v>
      </c>
      <c r="K76" s="104">
        <v>7581</v>
      </c>
      <c r="L76" s="74" t="str">
        <f>VLOOKUP($J76,'2 CODIFICATION'!A$5:B$17,2,"FAUX")</f>
        <v>ADMINIST ET FONCT</v>
      </c>
      <c r="M76" s="74" t="str">
        <f>VLOOKUP($K76,'2 CODIFICATION'!D$8:E$64,2,"FAUX")</f>
        <v>Adhésions association</v>
      </c>
      <c r="N76" s="45">
        <f t="shared" si="9"/>
        <v>758100</v>
      </c>
      <c r="O76" s="14">
        <f t="shared" si="7"/>
        <v>50</v>
      </c>
      <c r="P76" s="84">
        <f t="shared" si="8"/>
        <v>2021</v>
      </c>
      <c r="Q76" s="11" t="str">
        <f>VLOOKUP($N76,'2 CODIFICATION'!$G$5:$L$71,3,FALSE)</f>
        <v>Cotisations individuelles et associatives</v>
      </c>
      <c r="R76" s="53" t="str">
        <f>VLOOKUP($N76,'2 CODIFICATION'!$G$5:$L$71,4,FALSE)</f>
        <v>pdts</v>
      </c>
      <c r="S76" s="53">
        <f>VLOOKUP($N76,'2 CODIFICATION'!$G$5:$L$71,5,FALSE)</f>
        <v>75</v>
      </c>
      <c r="T76" s="11" t="str">
        <f>VLOOKUP($N76,'2 CODIFICATION'!$G$5:$L$71,6,FALSE)</f>
        <v>Autres produits de gestion courante</v>
      </c>
    </row>
    <row r="77" spans="1:20" ht="14.5" hidden="1" customHeight="1">
      <c r="A77" s="72" t="s">
        <v>170</v>
      </c>
      <c r="B77" s="29" t="s">
        <v>79</v>
      </c>
      <c r="C77" s="12">
        <f t="shared" si="10"/>
        <v>4</v>
      </c>
      <c r="D77" s="76">
        <v>44217</v>
      </c>
      <c r="E77" s="243" t="s">
        <v>400</v>
      </c>
      <c r="F77" s="126" t="s">
        <v>254</v>
      </c>
      <c r="G77" s="13">
        <v>0</v>
      </c>
      <c r="H77" s="230">
        <v>240</v>
      </c>
      <c r="I77" s="66">
        <f t="shared" si="4"/>
        <v>317.97000000000003</v>
      </c>
      <c r="J77" s="163" t="s">
        <v>171</v>
      </c>
      <c r="K77" s="104">
        <v>6040</v>
      </c>
      <c r="L77" s="74" t="str">
        <f>VLOOKUP($J77,'2 CODIFICATION'!A$5:B$17,2,"FAUX")</f>
        <v>FORAGE NOKBAK</v>
      </c>
      <c r="M77" s="74" t="str">
        <f>VLOOKUP($K77,'2 CODIFICATION'!D$8:E$64,2,"FAUX")</f>
        <v>prestations études</v>
      </c>
      <c r="N77" s="45">
        <f t="shared" si="9"/>
        <v>604000</v>
      </c>
      <c r="O77" s="14">
        <f t="shared" si="7"/>
        <v>-240</v>
      </c>
      <c r="P77" s="84">
        <f t="shared" si="8"/>
        <v>2021</v>
      </c>
      <c r="Q77" s="11" t="str">
        <f>VLOOKUP($N77,'2 CODIFICATION'!$G$5:$L$71,3,FALSE)</f>
        <v>Prestations de services (Hydrogéologue Nokbak)</v>
      </c>
      <c r="R77" s="53" t="str">
        <f>VLOOKUP($N77,'2 CODIFICATION'!$G$5:$L$71,4,FALSE)</f>
        <v>chges</v>
      </c>
      <c r="S77" s="53">
        <f>VLOOKUP($N77,'2 CODIFICATION'!$G$5:$L$71,5,FALSE)</f>
        <v>60</v>
      </c>
      <c r="T77" s="11" t="str">
        <f>VLOOKUP($N77,'2 CODIFICATION'!$G$5:$L$71,6,FALSE)</f>
        <v>Achat</v>
      </c>
    </row>
    <row r="78" spans="1:20" ht="14.5" hidden="1" customHeight="1">
      <c r="A78" s="72" t="s">
        <v>170</v>
      </c>
      <c r="B78" s="29" t="s">
        <v>79</v>
      </c>
      <c r="C78" s="12">
        <f t="shared" si="10"/>
        <v>5</v>
      </c>
      <c r="D78" s="76">
        <v>44238</v>
      </c>
      <c r="E78" s="108" t="s">
        <v>221</v>
      </c>
      <c r="F78" s="131" t="s">
        <v>253</v>
      </c>
      <c r="G78" s="230">
        <v>20</v>
      </c>
      <c r="H78" s="14"/>
      <c r="I78" s="66">
        <f t="shared" si="4"/>
        <v>337.97</v>
      </c>
      <c r="J78" s="163" t="s">
        <v>273</v>
      </c>
      <c r="K78" s="104">
        <v>7771</v>
      </c>
      <c r="L78" s="74" t="str">
        <f>VLOOKUP($J78,'2 CODIFICATION'!A$5:B$17,2,"FAUX")</f>
        <v>ADMINIST ET FONCT</v>
      </c>
      <c r="M78" s="74" t="str">
        <f>VLOOKUP($K78,'2 CODIFICATION'!D$8:E$64,2,"FAUX")</f>
        <v>Dons et participations à l"association</v>
      </c>
      <c r="N78" s="45">
        <f t="shared" si="9"/>
        <v>777100</v>
      </c>
      <c r="O78" s="14">
        <f t="shared" si="7"/>
        <v>20</v>
      </c>
      <c r="P78" s="84">
        <f t="shared" si="8"/>
        <v>2021</v>
      </c>
      <c r="Q78" s="11" t="str">
        <f>VLOOKUP($N78,'2 CODIFICATION'!$G$5:$L$71,3,FALSE)</f>
        <v>Dons et autres mises à dispositions gratuites</v>
      </c>
      <c r="R78" s="53" t="str">
        <f>VLOOKUP($N78,'2 CODIFICATION'!$G$5:$L$71,4,FALSE)</f>
        <v>pdts</v>
      </c>
      <c r="S78" s="53">
        <f>VLOOKUP($N78,'2 CODIFICATION'!$G$5:$L$71,5,FALSE)</f>
        <v>77</v>
      </c>
      <c r="T78" s="11" t="str">
        <f>VLOOKUP($N78,'2 CODIFICATION'!$G$5:$L$71,6,FALSE)</f>
        <v>Produits exceptionnels</v>
      </c>
    </row>
    <row r="79" spans="1:20" ht="14.5" hidden="1" customHeight="1">
      <c r="A79" s="72" t="s">
        <v>170</v>
      </c>
      <c r="B79" s="29" t="s">
        <v>79</v>
      </c>
      <c r="C79" s="12">
        <f t="shared" si="10"/>
        <v>6</v>
      </c>
      <c r="D79" s="76">
        <v>44257</v>
      </c>
      <c r="E79" s="126" t="s">
        <v>240</v>
      </c>
      <c r="F79" s="126" t="s">
        <v>253</v>
      </c>
      <c r="G79" s="230">
        <v>1320</v>
      </c>
      <c r="H79" s="14"/>
      <c r="I79" s="66">
        <f t="shared" si="4"/>
        <v>1657.97</v>
      </c>
      <c r="J79" s="163" t="s">
        <v>232</v>
      </c>
      <c r="K79" s="104">
        <v>7771</v>
      </c>
      <c r="L79" s="74" t="str">
        <f>VLOOKUP($J79,'2 CODIFICATION'!A$5:B$17,2,"FAUX")</f>
        <v>DASSOUTE TEUILLAC CONST ECOLE</v>
      </c>
      <c r="M79" s="74" t="str">
        <f>VLOOKUP($K79,'2 CODIFICATION'!D$8:E$64,2,"FAUX")</f>
        <v>Dons et participations à l"association</v>
      </c>
      <c r="N79" s="45">
        <f t="shared" si="9"/>
        <v>777100</v>
      </c>
      <c r="O79" s="14">
        <f t="shared" si="7"/>
        <v>1320</v>
      </c>
      <c r="P79" s="84">
        <f t="shared" si="8"/>
        <v>2021</v>
      </c>
      <c r="Q79" s="11" t="str">
        <f>VLOOKUP($N79,'2 CODIFICATION'!$G$5:$L$71,3,FALSE)</f>
        <v>Dons et autres mises à dispositions gratuites</v>
      </c>
      <c r="R79" s="53" t="str">
        <f>VLOOKUP($N79,'2 CODIFICATION'!$G$5:$L$71,4,FALSE)</f>
        <v>pdts</v>
      </c>
      <c r="S79" s="53">
        <f>VLOOKUP($N79,'2 CODIFICATION'!$G$5:$L$71,5,FALSE)</f>
        <v>77</v>
      </c>
      <c r="T79" s="11" t="str">
        <f>VLOOKUP($N79,'2 CODIFICATION'!$G$5:$L$71,6,FALSE)</f>
        <v>Produits exceptionnels</v>
      </c>
    </row>
    <row r="80" spans="1:20" ht="14.5" hidden="1" customHeight="1">
      <c r="A80" s="72" t="s">
        <v>170</v>
      </c>
      <c r="B80" s="29" t="s">
        <v>79</v>
      </c>
      <c r="C80" s="12">
        <f t="shared" si="10"/>
        <v>7</v>
      </c>
      <c r="D80" s="76">
        <v>44266</v>
      </c>
      <c r="E80" s="107" t="s">
        <v>221</v>
      </c>
      <c r="F80" s="126" t="s">
        <v>253</v>
      </c>
      <c r="G80" s="230">
        <v>20</v>
      </c>
      <c r="H80" s="14"/>
      <c r="I80" s="66">
        <f t="shared" si="4"/>
        <v>1677.97</v>
      </c>
      <c r="J80" s="163" t="s">
        <v>273</v>
      </c>
      <c r="K80" s="104">
        <v>7771</v>
      </c>
      <c r="L80" s="74" t="str">
        <f>VLOOKUP($J80,'2 CODIFICATION'!A$5:B$17,2,"FAUX")</f>
        <v>ADMINIST ET FONCT</v>
      </c>
      <c r="M80" s="74" t="str">
        <f>VLOOKUP($K80,'2 CODIFICATION'!D$8:E$64,2,"FAUX")</f>
        <v>Dons et participations à l"association</v>
      </c>
      <c r="N80" s="45">
        <f t="shared" si="9"/>
        <v>777100</v>
      </c>
      <c r="O80" s="14">
        <f t="shared" si="7"/>
        <v>20</v>
      </c>
      <c r="P80" s="84">
        <f t="shared" si="8"/>
        <v>2021</v>
      </c>
      <c r="Q80" s="11" t="str">
        <f>VLOOKUP($N80,'2 CODIFICATION'!$G$5:$L$71,3,FALSE)</f>
        <v>Dons et autres mises à dispositions gratuites</v>
      </c>
      <c r="R80" s="53" t="str">
        <f>VLOOKUP($N80,'2 CODIFICATION'!$G$5:$L$71,4,FALSE)</f>
        <v>pdts</v>
      </c>
      <c r="S80" s="53">
        <f>VLOOKUP($N80,'2 CODIFICATION'!$G$5:$L$71,5,FALSE)</f>
        <v>77</v>
      </c>
      <c r="T80" s="11" t="str">
        <f>VLOOKUP($N80,'2 CODIFICATION'!$G$5:$L$71,6,FALSE)</f>
        <v>Produits exceptionnels</v>
      </c>
    </row>
    <row r="81" spans="1:20" ht="14.5" hidden="1" customHeight="1">
      <c r="A81" s="72" t="s">
        <v>170</v>
      </c>
      <c r="B81" s="29" t="s">
        <v>79</v>
      </c>
      <c r="C81" s="12">
        <f t="shared" si="10"/>
        <v>8</v>
      </c>
      <c r="D81" s="76">
        <v>44281</v>
      </c>
      <c r="E81" s="126" t="s">
        <v>240</v>
      </c>
      <c r="F81" s="126" t="s">
        <v>253</v>
      </c>
      <c r="G81" s="230">
        <v>380</v>
      </c>
      <c r="H81" s="14"/>
      <c r="I81" s="66">
        <f t="shared" si="4"/>
        <v>2057.9700000000003</v>
      </c>
      <c r="J81" s="163" t="s">
        <v>232</v>
      </c>
      <c r="K81" s="104">
        <v>7771</v>
      </c>
      <c r="L81" s="74" t="str">
        <f>VLOOKUP($J81,'2 CODIFICATION'!A$5:B$17,2,"FAUX")</f>
        <v>DASSOUTE TEUILLAC CONST ECOLE</v>
      </c>
      <c r="M81" s="74" t="str">
        <f>VLOOKUP($K81,'2 CODIFICATION'!D$8:E$64,2,"FAUX")</f>
        <v>Dons et participations à l"association</v>
      </c>
      <c r="N81" s="45">
        <f t="shared" si="9"/>
        <v>777100</v>
      </c>
      <c r="O81" s="14">
        <f t="shared" si="7"/>
        <v>380</v>
      </c>
      <c r="P81" s="84">
        <f t="shared" si="8"/>
        <v>2021</v>
      </c>
      <c r="Q81" s="11" t="str">
        <f>VLOOKUP($N81,'2 CODIFICATION'!$G$5:$L$71,3,FALSE)</f>
        <v>Dons et autres mises à dispositions gratuites</v>
      </c>
      <c r="R81" s="53" t="str">
        <f>VLOOKUP($N81,'2 CODIFICATION'!$G$5:$L$71,4,FALSE)</f>
        <v>pdts</v>
      </c>
      <c r="S81" s="53">
        <f>VLOOKUP($N81,'2 CODIFICATION'!$G$5:$L$71,5,FALSE)</f>
        <v>77</v>
      </c>
      <c r="T81" s="11" t="str">
        <f>VLOOKUP($N81,'2 CODIFICATION'!$G$5:$L$71,6,FALSE)</f>
        <v>Produits exceptionnels</v>
      </c>
    </row>
    <row r="82" spans="1:20" ht="14.5" hidden="1" customHeight="1">
      <c r="A82" s="72" t="s">
        <v>170</v>
      </c>
      <c r="B82" s="29" t="s">
        <v>79</v>
      </c>
      <c r="C82" s="12">
        <f t="shared" si="10"/>
        <v>9</v>
      </c>
      <c r="D82" s="76">
        <v>44293</v>
      </c>
      <c r="E82" s="174" t="s">
        <v>338</v>
      </c>
      <c r="F82" s="174" t="s">
        <v>339</v>
      </c>
      <c r="G82" s="13">
        <v>0</v>
      </c>
      <c r="H82" s="230">
        <v>30</v>
      </c>
      <c r="I82" s="66">
        <f t="shared" si="4"/>
        <v>2027.9700000000003</v>
      </c>
      <c r="J82" s="163" t="s">
        <v>273</v>
      </c>
      <c r="K82" s="104">
        <v>6281</v>
      </c>
      <c r="L82" s="74" t="str">
        <f>VLOOKUP($J82,'2 CODIFICATION'!A$5:B$17,2,"FAUX")</f>
        <v>ADMINIST ET FONCT</v>
      </c>
      <c r="M82" s="74" t="str">
        <f>VLOOKUP($K82,'2 CODIFICATION'!D$8:E$64,2,"FAUX")</f>
        <v>adhésion Hellasso+ autres</v>
      </c>
      <c r="N82" s="45">
        <f t="shared" si="9"/>
        <v>628100</v>
      </c>
      <c r="O82" s="14">
        <f t="shared" si="7"/>
        <v>-30</v>
      </c>
      <c r="P82" s="84">
        <f t="shared" si="8"/>
        <v>2021</v>
      </c>
      <c r="Q82" s="11" t="str">
        <f>VLOOKUP($N82,'2 CODIFICATION'!$G$5:$L$71,3,FALSE)</f>
        <v>adhesion Hellasso</v>
      </c>
      <c r="R82" s="53" t="str">
        <f>VLOOKUP($N82,'2 CODIFICATION'!$G$5:$L$71,4,FALSE)</f>
        <v>chges</v>
      </c>
      <c r="S82" s="53">
        <f>VLOOKUP($N82,'2 CODIFICATION'!$G$5:$L$71,5,FALSE)</f>
        <v>62</v>
      </c>
      <c r="T82" s="11" t="str">
        <f>VLOOKUP($N82,'2 CODIFICATION'!$G$5:$L$71,6,FALSE)</f>
        <v>Autres services extérieurs</v>
      </c>
    </row>
    <row r="83" spans="1:20" ht="14.5" hidden="1" customHeight="1">
      <c r="A83" s="72" t="s">
        <v>170</v>
      </c>
      <c r="B83" s="29" t="s">
        <v>79</v>
      </c>
      <c r="C83" s="12">
        <f t="shared" si="10"/>
        <v>10</v>
      </c>
      <c r="D83" s="76">
        <v>44298</v>
      </c>
      <c r="E83" s="107" t="s">
        <v>221</v>
      </c>
      <c r="F83" s="126" t="s">
        <v>253</v>
      </c>
      <c r="G83" s="230">
        <v>20</v>
      </c>
      <c r="H83" s="14"/>
      <c r="I83" s="66">
        <f t="shared" si="4"/>
        <v>2047.9700000000003</v>
      </c>
      <c r="J83" s="163" t="s">
        <v>273</v>
      </c>
      <c r="K83" s="104">
        <v>7771</v>
      </c>
      <c r="L83" s="74" t="str">
        <f>VLOOKUP($J83,'2 CODIFICATION'!A$5:B$17,2,"FAUX")</f>
        <v>ADMINIST ET FONCT</v>
      </c>
      <c r="M83" s="74" t="str">
        <f>VLOOKUP($K83,'2 CODIFICATION'!D$8:E$64,2,"FAUX")</f>
        <v>Dons et participations à l"association</v>
      </c>
      <c r="N83" s="45">
        <f t="shared" si="9"/>
        <v>777100</v>
      </c>
      <c r="O83" s="14">
        <f t="shared" si="7"/>
        <v>20</v>
      </c>
      <c r="P83" s="84">
        <f t="shared" si="8"/>
        <v>2021</v>
      </c>
      <c r="Q83" s="11" t="str">
        <f>VLOOKUP($N83,'2 CODIFICATION'!$G$5:$L$71,3,FALSE)</f>
        <v>Dons et autres mises à dispositions gratuites</v>
      </c>
      <c r="R83" s="53" t="str">
        <f>VLOOKUP($N83,'2 CODIFICATION'!$G$5:$L$71,4,FALSE)</f>
        <v>pdts</v>
      </c>
      <c r="S83" s="53">
        <f>VLOOKUP($N83,'2 CODIFICATION'!$G$5:$L$71,5,FALSE)</f>
        <v>77</v>
      </c>
      <c r="T83" s="11" t="str">
        <f>VLOOKUP($N83,'2 CODIFICATION'!$G$5:$L$71,6,FALSE)</f>
        <v>Produits exceptionnels</v>
      </c>
    </row>
    <row r="84" spans="1:20" ht="14.5" hidden="1" customHeight="1">
      <c r="A84" s="72" t="s">
        <v>170</v>
      </c>
      <c r="B84" s="29" t="s">
        <v>79</v>
      </c>
      <c r="C84" s="12">
        <f t="shared" si="10"/>
        <v>11</v>
      </c>
      <c r="D84" s="76">
        <v>44327</v>
      </c>
      <c r="E84" s="108" t="s">
        <v>221</v>
      </c>
      <c r="F84" s="131" t="s">
        <v>253</v>
      </c>
      <c r="G84" s="230">
        <v>20</v>
      </c>
      <c r="H84" s="14"/>
      <c r="I84" s="66">
        <f t="shared" si="4"/>
        <v>2067.9700000000003</v>
      </c>
      <c r="J84" s="163" t="s">
        <v>273</v>
      </c>
      <c r="K84" s="104">
        <v>7771</v>
      </c>
      <c r="L84" s="74" t="str">
        <f>VLOOKUP($J84,'2 CODIFICATION'!A$5:B$17,2,"FAUX")</f>
        <v>ADMINIST ET FONCT</v>
      </c>
      <c r="M84" s="74" t="str">
        <f>VLOOKUP($K84,'2 CODIFICATION'!D$8:E$64,2,"FAUX")</f>
        <v>Dons et participations à l"association</v>
      </c>
      <c r="N84" s="45">
        <f t="shared" si="9"/>
        <v>777100</v>
      </c>
      <c r="O84" s="14">
        <f t="shared" si="7"/>
        <v>20</v>
      </c>
      <c r="P84" s="84">
        <f t="shared" si="8"/>
        <v>2021</v>
      </c>
      <c r="Q84" s="11" t="str">
        <f>VLOOKUP($N84,'2 CODIFICATION'!$G$5:$L$71,3,FALSE)</f>
        <v>Dons et autres mises à dispositions gratuites</v>
      </c>
      <c r="R84" s="53" t="str">
        <f>VLOOKUP($N84,'2 CODIFICATION'!$G$5:$L$71,4,FALSE)</f>
        <v>pdts</v>
      </c>
      <c r="S84" s="53">
        <f>VLOOKUP($N84,'2 CODIFICATION'!$G$5:$L$71,5,FALSE)</f>
        <v>77</v>
      </c>
      <c r="T84" s="11" t="str">
        <f>VLOOKUP($N84,'2 CODIFICATION'!$G$5:$L$71,6,FALSE)</f>
        <v>Produits exceptionnels</v>
      </c>
    </row>
    <row r="85" spans="1:20" ht="14.5" hidden="1" customHeight="1">
      <c r="A85" s="72" t="s">
        <v>170</v>
      </c>
      <c r="B85" s="29" t="s">
        <v>79</v>
      </c>
      <c r="C85" s="12">
        <f>1+C83</f>
        <v>11</v>
      </c>
      <c r="D85" s="76">
        <v>44334</v>
      </c>
      <c r="E85" s="126" t="s">
        <v>242</v>
      </c>
      <c r="F85" s="126" t="s">
        <v>253</v>
      </c>
      <c r="G85" s="230">
        <v>20</v>
      </c>
      <c r="H85" s="14"/>
      <c r="I85" s="66">
        <f t="shared" si="4"/>
        <v>2087.9700000000003</v>
      </c>
      <c r="J85" s="163" t="s">
        <v>273</v>
      </c>
      <c r="K85" s="104">
        <v>7581</v>
      </c>
      <c r="L85" s="74" t="str">
        <f>VLOOKUP($J85,'2 CODIFICATION'!A$5:B$17,2,"FAUX")</f>
        <v>ADMINIST ET FONCT</v>
      </c>
      <c r="M85" s="74" t="str">
        <f>VLOOKUP($K85,'2 CODIFICATION'!D$8:E$64,2,"FAUX")</f>
        <v>Adhésions association</v>
      </c>
      <c r="N85" s="45">
        <f t="shared" si="9"/>
        <v>758100</v>
      </c>
      <c r="O85" s="14">
        <f t="shared" si="7"/>
        <v>20</v>
      </c>
      <c r="P85" s="84">
        <f t="shared" si="8"/>
        <v>2021</v>
      </c>
      <c r="Q85" s="11" t="str">
        <f>VLOOKUP($N85,'2 CODIFICATION'!$G$5:$L$71,3,FALSE)</f>
        <v>Cotisations individuelles et associatives</v>
      </c>
      <c r="R85" s="53" t="str">
        <f>VLOOKUP($N85,'2 CODIFICATION'!$G$5:$L$71,4,FALSE)</f>
        <v>pdts</v>
      </c>
      <c r="S85" s="53">
        <f>VLOOKUP($N85,'2 CODIFICATION'!$G$5:$L$71,5,FALSE)</f>
        <v>75</v>
      </c>
      <c r="T85" s="11" t="str">
        <f>VLOOKUP($N85,'2 CODIFICATION'!$G$5:$L$71,6,FALSE)</f>
        <v>Autres produits de gestion courante</v>
      </c>
    </row>
    <row r="86" spans="1:20" ht="14.5" hidden="1" customHeight="1">
      <c r="A86" s="72" t="s">
        <v>170</v>
      </c>
      <c r="B86" s="29" t="s">
        <v>79</v>
      </c>
      <c r="C86" s="12">
        <f>1+C84</f>
        <v>12</v>
      </c>
      <c r="D86" s="76">
        <v>44334</v>
      </c>
      <c r="E86" s="126" t="s">
        <v>242</v>
      </c>
      <c r="F86" s="126" t="s">
        <v>253</v>
      </c>
      <c r="G86" s="230">
        <v>35</v>
      </c>
      <c r="H86" s="14"/>
      <c r="I86" s="66">
        <f t="shared" si="4"/>
        <v>2122.9700000000003</v>
      </c>
      <c r="J86" s="163" t="s">
        <v>232</v>
      </c>
      <c r="K86" s="104">
        <v>7771</v>
      </c>
      <c r="L86" s="74" t="str">
        <f>VLOOKUP($J86,'2 CODIFICATION'!A$5:B$17,2,"FAUX")</f>
        <v>DASSOUTE TEUILLAC CONST ECOLE</v>
      </c>
      <c r="M86" s="74" t="str">
        <f>VLOOKUP($K86,'2 CODIFICATION'!D$8:E$64,2,"FAUX")</f>
        <v>Dons et participations à l"association</v>
      </c>
      <c r="N86" s="45">
        <f t="shared" si="9"/>
        <v>777100</v>
      </c>
      <c r="O86" s="14">
        <f t="shared" si="7"/>
        <v>35</v>
      </c>
      <c r="P86" s="84">
        <f t="shared" si="8"/>
        <v>2021</v>
      </c>
      <c r="Q86" s="11" t="str">
        <f>VLOOKUP($N86,'2 CODIFICATION'!$G$5:$L$71,3,FALSE)</f>
        <v>Dons et autres mises à dispositions gratuites</v>
      </c>
      <c r="R86" s="53" t="str">
        <f>VLOOKUP($N86,'2 CODIFICATION'!$G$5:$L$71,4,FALSE)</f>
        <v>pdts</v>
      </c>
      <c r="S86" s="53">
        <f>VLOOKUP($N86,'2 CODIFICATION'!$G$5:$L$71,5,FALSE)</f>
        <v>77</v>
      </c>
      <c r="T86" s="11" t="str">
        <f>VLOOKUP($N86,'2 CODIFICATION'!$G$5:$L$71,6,FALSE)</f>
        <v>Produits exceptionnels</v>
      </c>
    </row>
    <row r="87" spans="1:20" ht="14.5" hidden="1" customHeight="1">
      <c r="A87" s="72" t="s">
        <v>170</v>
      </c>
      <c r="B87" s="29" t="s">
        <v>79</v>
      </c>
      <c r="C87" s="12">
        <f t="shared" si="10"/>
        <v>13</v>
      </c>
      <c r="D87" s="76">
        <v>44336</v>
      </c>
      <c r="E87" s="126" t="s">
        <v>243</v>
      </c>
      <c r="F87" s="126" t="s">
        <v>256</v>
      </c>
      <c r="G87" s="13">
        <v>0</v>
      </c>
      <c r="H87" s="230">
        <v>1639.7</v>
      </c>
      <c r="I87" s="66">
        <f t="shared" si="4"/>
        <v>483.27000000000021</v>
      </c>
      <c r="J87" s="163" t="s">
        <v>307</v>
      </c>
      <c r="K87" s="104">
        <v>6071</v>
      </c>
      <c r="L87" s="74" t="str">
        <f>VLOOKUP($J87,'2 CODIFICATION'!A$5:B$17,2,"FAUX")</f>
        <v>DASSOUTE TEUILLAC FOURN SCOLAIRES</v>
      </c>
      <c r="M87" s="74" t="str">
        <f>VLOOKUP($K87,'2 CODIFICATION'!D$8:E$64,2,"FAUX")</f>
        <v>Achats fournitures et matériels</v>
      </c>
      <c r="N87" s="45">
        <f t="shared" si="9"/>
        <v>607100</v>
      </c>
      <c r="O87" s="14">
        <f t="shared" si="7"/>
        <v>-1639.7</v>
      </c>
      <c r="P87" s="84">
        <f t="shared" si="8"/>
        <v>2021</v>
      </c>
      <c r="Q87" s="11" t="str">
        <f>VLOOKUP($N87,'2 CODIFICATION'!$G$5:$L$71,3,FALSE)</f>
        <v>Achats fournitures et matériels</v>
      </c>
      <c r="R87" s="53" t="str">
        <f>VLOOKUP($N87,'2 CODIFICATION'!$G$5:$L$71,4,FALSE)</f>
        <v>chges</v>
      </c>
      <c r="S87" s="53">
        <f>VLOOKUP($N87,'2 CODIFICATION'!$G$5:$L$71,5,FALSE)</f>
        <v>60</v>
      </c>
      <c r="T87" s="11" t="str">
        <f>VLOOKUP($N87,'2 CODIFICATION'!$G$5:$L$71,6,FALSE)</f>
        <v>Services extérieurs</v>
      </c>
    </row>
    <row r="88" spans="1:20" ht="14.5" hidden="1" customHeight="1">
      <c r="A88" s="72" t="s">
        <v>170</v>
      </c>
      <c r="B88" s="29" t="s">
        <v>79</v>
      </c>
      <c r="C88" s="12">
        <f t="shared" si="10"/>
        <v>14</v>
      </c>
      <c r="D88" s="76">
        <v>44348</v>
      </c>
      <c r="E88" s="126" t="s">
        <v>240</v>
      </c>
      <c r="F88" s="126" t="s">
        <v>253</v>
      </c>
      <c r="G88" s="230">
        <v>250</v>
      </c>
      <c r="H88" s="14"/>
      <c r="I88" s="66">
        <f t="shared" si="4"/>
        <v>733.27000000000021</v>
      </c>
      <c r="J88" s="163" t="s">
        <v>232</v>
      </c>
      <c r="K88" s="104">
        <v>7771</v>
      </c>
      <c r="L88" s="74" t="str">
        <f>VLOOKUP($J88,'2 CODIFICATION'!A$5:B$17,2,"FAUX")</f>
        <v>DASSOUTE TEUILLAC CONST ECOLE</v>
      </c>
      <c r="M88" s="74" t="str">
        <f>VLOOKUP($K88,'2 CODIFICATION'!D$8:E$64,2,"FAUX")</f>
        <v>Dons et participations à l"association</v>
      </c>
      <c r="N88" s="45">
        <f t="shared" si="9"/>
        <v>777100</v>
      </c>
      <c r="O88" s="14">
        <f t="shared" si="7"/>
        <v>250</v>
      </c>
      <c r="P88" s="84">
        <f t="shared" si="8"/>
        <v>2021</v>
      </c>
      <c r="Q88" s="11" t="str">
        <f>VLOOKUP($N88,'2 CODIFICATION'!$G$5:$L$71,3,FALSE)</f>
        <v>Dons et autres mises à dispositions gratuites</v>
      </c>
      <c r="R88" s="53" t="str">
        <f>VLOOKUP($N88,'2 CODIFICATION'!$G$5:$L$71,4,FALSE)</f>
        <v>pdts</v>
      </c>
      <c r="S88" s="53">
        <f>VLOOKUP($N88,'2 CODIFICATION'!$G$5:$L$71,5,FALSE)</f>
        <v>77</v>
      </c>
      <c r="T88" s="11" t="str">
        <f>VLOOKUP($N88,'2 CODIFICATION'!$G$5:$L$71,6,FALSE)</f>
        <v>Produits exceptionnels</v>
      </c>
    </row>
    <row r="89" spans="1:20" ht="14.5" hidden="1" customHeight="1">
      <c r="A89" s="72" t="s">
        <v>170</v>
      </c>
      <c r="B89" s="29" t="s">
        <v>79</v>
      </c>
      <c r="C89" s="12">
        <f t="shared" si="10"/>
        <v>15</v>
      </c>
      <c r="D89" s="76">
        <v>44348</v>
      </c>
      <c r="E89" s="126" t="s">
        <v>239</v>
      </c>
      <c r="F89" s="126" t="s">
        <v>253</v>
      </c>
      <c r="G89" s="230">
        <v>50</v>
      </c>
      <c r="H89" s="14"/>
      <c r="I89" s="66">
        <f t="shared" si="4"/>
        <v>783.27000000000021</v>
      </c>
      <c r="J89" s="163" t="s">
        <v>273</v>
      </c>
      <c r="K89" s="104">
        <v>7581</v>
      </c>
      <c r="L89" s="74" t="str">
        <f>VLOOKUP($J89,'2 CODIFICATION'!A$5:B$17,2,"FAUX")</f>
        <v>ADMINIST ET FONCT</v>
      </c>
      <c r="M89" s="74" t="str">
        <f>VLOOKUP($K89,'2 CODIFICATION'!D$8:E$64,2,"FAUX")</f>
        <v>Adhésions association</v>
      </c>
      <c r="N89" s="45">
        <f t="shared" si="9"/>
        <v>758100</v>
      </c>
      <c r="O89" s="14">
        <f t="shared" si="7"/>
        <v>50</v>
      </c>
      <c r="P89" s="84">
        <f t="shared" si="8"/>
        <v>2021</v>
      </c>
      <c r="Q89" s="11" t="str">
        <f>VLOOKUP($N89,'2 CODIFICATION'!$G$5:$L$71,3,FALSE)</f>
        <v>Cotisations individuelles et associatives</v>
      </c>
      <c r="R89" s="53" t="str">
        <f>VLOOKUP($N89,'2 CODIFICATION'!$G$5:$L$71,4,FALSE)</f>
        <v>pdts</v>
      </c>
      <c r="S89" s="53">
        <f>VLOOKUP($N89,'2 CODIFICATION'!$G$5:$L$71,5,FALSE)</f>
        <v>75</v>
      </c>
      <c r="T89" s="11" t="str">
        <f>VLOOKUP($N89,'2 CODIFICATION'!$G$5:$L$71,6,FALSE)</f>
        <v>Autres produits de gestion courante</v>
      </c>
    </row>
    <row r="90" spans="1:20" ht="14.5" hidden="1" customHeight="1">
      <c r="A90" s="72" t="s">
        <v>170</v>
      </c>
      <c r="B90" s="29" t="s">
        <v>79</v>
      </c>
      <c r="C90" s="12">
        <f t="shared" si="10"/>
        <v>16</v>
      </c>
      <c r="D90" s="76">
        <v>44358</v>
      </c>
      <c r="E90" s="107" t="s">
        <v>221</v>
      </c>
      <c r="F90" s="126" t="s">
        <v>253</v>
      </c>
      <c r="G90" s="230">
        <v>20</v>
      </c>
      <c r="H90" s="14"/>
      <c r="I90" s="66">
        <f t="shared" si="4"/>
        <v>803.27000000000021</v>
      </c>
      <c r="J90" s="163" t="s">
        <v>273</v>
      </c>
      <c r="K90" s="104">
        <v>7771</v>
      </c>
      <c r="L90" s="74" t="str">
        <f>VLOOKUP($J90,'2 CODIFICATION'!A$5:B$17,2,"FAUX")</f>
        <v>ADMINIST ET FONCT</v>
      </c>
      <c r="M90" s="74" t="str">
        <f>VLOOKUP($K90,'2 CODIFICATION'!D$8:E$64,2,"FAUX")</f>
        <v>Dons et participations à l"association</v>
      </c>
      <c r="N90" s="45">
        <f t="shared" si="9"/>
        <v>777100</v>
      </c>
      <c r="O90" s="14">
        <f t="shared" si="7"/>
        <v>20</v>
      </c>
      <c r="P90" s="84">
        <f t="shared" si="8"/>
        <v>2021</v>
      </c>
      <c r="Q90" s="11" t="str">
        <f>VLOOKUP($N90,'2 CODIFICATION'!$G$5:$L$71,3,FALSE)</f>
        <v>Dons et autres mises à dispositions gratuites</v>
      </c>
      <c r="R90" s="53" t="str">
        <f>VLOOKUP($N90,'2 CODIFICATION'!$G$5:$L$71,4,FALSE)</f>
        <v>pdts</v>
      </c>
      <c r="S90" s="53">
        <f>VLOOKUP($N90,'2 CODIFICATION'!$G$5:$L$71,5,FALSE)</f>
        <v>77</v>
      </c>
      <c r="T90" s="11" t="str">
        <f>VLOOKUP($N90,'2 CODIFICATION'!$G$5:$L$71,6,FALSE)</f>
        <v>Produits exceptionnels</v>
      </c>
    </row>
    <row r="91" spans="1:20" ht="14.5" hidden="1" customHeight="1">
      <c r="A91" s="72" t="s">
        <v>170</v>
      </c>
      <c r="B91" s="29" t="s">
        <v>79</v>
      </c>
      <c r="C91" s="12">
        <f t="shared" si="10"/>
        <v>17</v>
      </c>
      <c r="D91" s="76">
        <v>44364</v>
      </c>
      <c r="E91" s="126" t="s">
        <v>237</v>
      </c>
      <c r="F91" s="126" t="s">
        <v>252</v>
      </c>
      <c r="G91" s="13">
        <v>0</v>
      </c>
      <c r="H91" s="230">
        <v>96.09</v>
      </c>
      <c r="I91" s="66">
        <f t="shared" si="4"/>
        <v>707.18000000000018</v>
      </c>
      <c r="J91" s="163" t="s">
        <v>273</v>
      </c>
      <c r="K91" s="104">
        <v>6160</v>
      </c>
      <c r="L91" s="74" t="str">
        <f>VLOOKUP($J91,'2 CODIFICATION'!A$5:B$17,2,"FAUX")</f>
        <v>ADMINIST ET FONCT</v>
      </c>
      <c r="M91" s="74" t="str">
        <f>VLOOKUP($K91,'2 CODIFICATION'!D$8:E$64,2,"FAUX")</f>
        <v>Assurance RC</v>
      </c>
      <c r="N91" s="45">
        <f t="shared" si="9"/>
        <v>616000</v>
      </c>
      <c r="O91" s="14">
        <f t="shared" si="7"/>
        <v>-96.09</v>
      </c>
      <c r="P91" s="84">
        <f t="shared" si="8"/>
        <v>2021</v>
      </c>
      <c r="Q91" s="11" t="str">
        <f>VLOOKUP($N91,'2 CODIFICATION'!$G$5:$L$71,3,FALSE)</f>
        <v>Primes d'assurance</v>
      </c>
      <c r="R91" s="53" t="str">
        <f>VLOOKUP($N91,'2 CODIFICATION'!$G$5:$L$71,4,FALSE)</f>
        <v>chges</v>
      </c>
      <c r="S91" s="53">
        <f>VLOOKUP($N91,'2 CODIFICATION'!$G$5:$L$71,5,FALSE)</f>
        <v>61</v>
      </c>
      <c r="T91" s="11" t="str">
        <f>VLOOKUP($N91,'2 CODIFICATION'!$G$5:$L$71,6,FALSE)</f>
        <v>Services extérieurs</v>
      </c>
    </row>
    <row r="92" spans="1:20" ht="14.5" hidden="1" customHeight="1">
      <c r="A92" s="72" t="s">
        <v>170</v>
      </c>
      <c r="B92" s="29" t="s">
        <v>79</v>
      </c>
      <c r="C92" s="12">
        <f t="shared" si="10"/>
        <v>18</v>
      </c>
      <c r="D92" s="109">
        <v>44370</v>
      </c>
      <c r="E92" s="126" t="s">
        <v>240</v>
      </c>
      <c r="F92" s="126" t="s">
        <v>253</v>
      </c>
      <c r="G92" s="230">
        <v>700</v>
      </c>
      <c r="H92" s="14"/>
      <c r="I92" s="66">
        <f t="shared" si="4"/>
        <v>1407.1800000000003</v>
      </c>
      <c r="J92" s="163" t="s">
        <v>232</v>
      </c>
      <c r="K92" s="104">
        <v>7771</v>
      </c>
      <c r="L92" s="74" t="str">
        <f>VLOOKUP($J92,'2 CODIFICATION'!A$5:B$17,2,"FAUX")</f>
        <v>DASSOUTE TEUILLAC CONST ECOLE</v>
      </c>
      <c r="M92" s="74" t="str">
        <f>VLOOKUP($K92,'2 CODIFICATION'!D$8:E$64,2,"FAUX")</f>
        <v>Dons et participations à l"association</v>
      </c>
      <c r="N92" s="45">
        <f t="shared" si="9"/>
        <v>777100</v>
      </c>
      <c r="O92" s="14">
        <f t="shared" si="7"/>
        <v>700</v>
      </c>
      <c r="P92" s="84">
        <f t="shared" si="8"/>
        <v>2021</v>
      </c>
      <c r="Q92" s="11" t="str">
        <f>VLOOKUP($N92,'2 CODIFICATION'!$G$5:$L$71,3,FALSE)</f>
        <v>Dons et autres mises à dispositions gratuites</v>
      </c>
      <c r="R92" s="53" t="str">
        <f>VLOOKUP($N92,'2 CODIFICATION'!$G$5:$L$71,4,FALSE)</f>
        <v>pdts</v>
      </c>
      <c r="S92" s="53">
        <f>VLOOKUP($N92,'2 CODIFICATION'!$G$5:$L$71,5,FALSE)</f>
        <v>77</v>
      </c>
      <c r="T92" s="11" t="str">
        <f>VLOOKUP($N92,'2 CODIFICATION'!$G$5:$L$71,6,FALSE)</f>
        <v>Produits exceptionnels</v>
      </c>
    </row>
    <row r="93" spans="1:20" ht="14.5" hidden="1" customHeight="1">
      <c r="A93" s="72" t="s">
        <v>170</v>
      </c>
      <c r="B93" s="29" t="s">
        <v>79</v>
      </c>
      <c r="C93" s="12">
        <f t="shared" si="10"/>
        <v>19</v>
      </c>
      <c r="D93" s="76">
        <v>44370</v>
      </c>
      <c r="E93" s="126" t="s">
        <v>240</v>
      </c>
      <c r="F93" s="126" t="s">
        <v>253</v>
      </c>
      <c r="G93" s="230">
        <v>210</v>
      </c>
      <c r="H93" s="14"/>
      <c r="I93" s="66">
        <f t="shared" si="4"/>
        <v>1617.1800000000003</v>
      </c>
      <c r="J93" s="163" t="s">
        <v>232</v>
      </c>
      <c r="K93" s="104">
        <v>7771</v>
      </c>
      <c r="L93" s="74" t="str">
        <f>VLOOKUP($J93,'2 CODIFICATION'!A$5:B$17,2,"FAUX")</f>
        <v>DASSOUTE TEUILLAC CONST ECOLE</v>
      </c>
      <c r="M93" s="74" t="str">
        <f>VLOOKUP($K93,'2 CODIFICATION'!D$8:E$64,2,"FAUX")</f>
        <v>Dons et participations à l"association</v>
      </c>
      <c r="N93" s="45">
        <f t="shared" si="9"/>
        <v>777100</v>
      </c>
      <c r="O93" s="14">
        <f t="shared" si="7"/>
        <v>210</v>
      </c>
      <c r="P93" s="84">
        <f t="shared" si="8"/>
        <v>2021</v>
      </c>
      <c r="Q93" s="11" t="str">
        <f>VLOOKUP($N93,'2 CODIFICATION'!$G$5:$L$71,3,FALSE)</f>
        <v>Dons et autres mises à dispositions gratuites</v>
      </c>
      <c r="R93" s="53" t="str">
        <f>VLOOKUP($N93,'2 CODIFICATION'!$G$5:$L$71,4,FALSE)</f>
        <v>pdts</v>
      </c>
      <c r="S93" s="53">
        <f>VLOOKUP($N93,'2 CODIFICATION'!$G$5:$L$71,5,FALSE)</f>
        <v>77</v>
      </c>
      <c r="T93" s="11" t="str">
        <f>VLOOKUP($N93,'2 CODIFICATION'!$G$5:$L$71,6,FALSE)</f>
        <v>Produits exceptionnels</v>
      </c>
    </row>
    <row r="94" spans="1:20" ht="14.5" hidden="1" customHeight="1">
      <c r="A94" s="72" t="s">
        <v>170</v>
      </c>
      <c r="B94" s="29" t="s">
        <v>79</v>
      </c>
      <c r="C94" s="12">
        <f t="shared" si="10"/>
        <v>20</v>
      </c>
      <c r="D94" s="76">
        <v>44372</v>
      </c>
      <c r="E94" s="130" t="s">
        <v>241</v>
      </c>
      <c r="F94" s="126" t="s">
        <v>255</v>
      </c>
      <c r="G94" s="13">
        <v>0</v>
      </c>
      <c r="H94" s="230">
        <v>20</v>
      </c>
      <c r="I94" s="66">
        <f t="shared" si="4"/>
        <v>1597.1800000000003</v>
      </c>
      <c r="J94" s="163" t="s">
        <v>198</v>
      </c>
      <c r="K94" s="164">
        <v>6064</v>
      </c>
      <c r="L94" s="74" t="str">
        <f>VLOOKUP($J94,'2 CODIFICATION'!A$5:B$17,2,"FAUX")</f>
        <v>HYGIENE MENSTRUELLE</v>
      </c>
      <c r="M94" s="74" t="str">
        <f>VLOOKUP($K94,'2 CODIFICATION'!D$8:E$64,2,"FAUX")</f>
        <v>Frais de fonctionnement et fourniture</v>
      </c>
      <c r="N94" s="45">
        <f t="shared" si="9"/>
        <v>606400</v>
      </c>
      <c r="O94" s="14">
        <f t="shared" si="7"/>
        <v>-20</v>
      </c>
      <c r="P94" s="84">
        <f t="shared" si="8"/>
        <v>2021</v>
      </c>
      <c r="Q94" s="11" t="str">
        <f>VLOOKUP($N94,'2 CODIFICATION'!$G$5:$L$71,3,FALSE)</f>
        <v>Fournitures administratives</v>
      </c>
      <c r="R94" s="53" t="str">
        <f>VLOOKUP($N94,'2 CODIFICATION'!$G$5:$L$71,4,FALSE)</f>
        <v>chges</v>
      </c>
      <c r="S94" s="53">
        <f>VLOOKUP($N94,'2 CODIFICATION'!$G$5:$L$71,5,FALSE)</f>
        <v>60</v>
      </c>
      <c r="T94" s="11" t="str">
        <f>VLOOKUP($N94,'2 CODIFICATION'!$G$5:$L$71,6,FALSE)</f>
        <v>Achat</v>
      </c>
    </row>
    <row r="95" spans="1:20" ht="14.5" hidden="1" customHeight="1">
      <c r="A95" s="72" t="s">
        <v>170</v>
      </c>
      <c r="B95" s="29" t="s">
        <v>79</v>
      </c>
      <c r="C95" s="12">
        <f t="shared" si="10"/>
        <v>21</v>
      </c>
      <c r="D95" s="76">
        <v>44375</v>
      </c>
      <c r="E95" s="110" t="s">
        <v>222</v>
      </c>
      <c r="F95" s="126" t="s">
        <v>253</v>
      </c>
      <c r="G95" s="230">
        <v>5000</v>
      </c>
      <c r="H95" s="14"/>
      <c r="I95" s="66">
        <f t="shared" si="4"/>
        <v>6597.18</v>
      </c>
      <c r="J95" s="163" t="s">
        <v>198</v>
      </c>
      <c r="K95" s="104">
        <v>7410</v>
      </c>
      <c r="L95" s="74" t="str">
        <f>VLOOKUP($J95,'2 CODIFICATION'!A$5:B$17,2,"FAUX")</f>
        <v>HYGIENE MENSTRUELLE</v>
      </c>
      <c r="M95" s="74" t="str">
        <f>VLOOKUP($K95,'2 CODIFICATION'!D$8:E$64,2,"FAUX")</f>
        <v>Subventions Région Nouvelle Aquitaine</v>
      </c>
      <c r="N95" s="45">
        <f t="shared" si="9"/>
        <v>741000</v>
      </c>
      <c r="O95" s="14">
        <f t="shared" si="7"/>
        <v>5000</v>
      </c>
      <c r="P95" s="84">
        <f t="shared" si="8"/>
        <v>2021</v>
      </c>
      <c r="Q95" s="11" t="str">
        <f>VLOOKUP($N95,'2 CODIFICATION'!$G$5:$L$71,3,FALSE)</f>
        <v>Région Nouvelle-Aquitaine</v>
      </c>
      <c r="R95" s="53" t="str">
        <f>VLOOKUP($N95,'2 CODIFICATION'!$G$5:$L$71,4,FALSE)</f>
        <v>pdts</v>
      </c>
      <c r="S95" s="53">
        <f>VLOOKUP($N95,'2 CODIFICATION'!$G$5:$L$71,5,FALSE)</f>
        <v>74</v>
      </c>
      <c r="T95" s="11" t="str">
        <f>VLOOKUP($N95,'2 CODIFICATION'!$G$5:$L$71,6,FALSE)</f>
        <v>Subventions d'exploitation</v>
      </c>
    </row>
    <row r="96" spans="1:20" ht="14.5" hidden="1" customHeight="1">
      <c r="A96" s="61" t="s">
        <v>170</v>
      </c>
      <c r="B96" s="176" t="s">
        <v>207</v>
      </c>
      <c r="C96" s="172">
        <v>1</v>
      </c>
      <c r="D96" s="170">
        <v>44502</v>
      </c>
      <c r="E96" s="168" t="s">
        <v>324</v>
      </c>
      <c r="F96" s="197" t="s">
        <v>253</v>
      </c>
      <c r="G96" s="166">
        <v>10</v>
      </c>
      <c r="H96" s="167"/>
      <c r="I96" s="66">
        <f t="shared" si="4"/>
        <v>6607.18</v>
      </c>
      <c r="J96" s="163" t="s">
        <v>273</v>
      </c>
      <c r="K96" s="104">
        <v>7581</v>
      </c>
      <c r="L96" s="74" t="str">
        <f>VLOOKUP($J96,'2 CODIFICATION'!A$5:B$17,2,"FAUX")</f>
        <v>ADMINIST ET FONCT</v>
      </c>
      <c r="M96" s="175" t="str">
        <f>VLOOKUP($K96,'2 CODIFICATION'!D$8:E$64,2,"FAUX")</f>
        <v>Adhésions association</v>
      </c>
      <c r="N96" s="45">
        <f>+K96*100</f>
        <v>758100</v>
      </c>
      <c r="O96" s="14">
        <f>G96-H96</f>
        <v>10</v>
      </c>
      <c r="P96" s="84">
        <f>YEAR(D96)</f>
        <v>2021</v>
      </c>
      <c r="Q96" s="11" t="str">
        <f>VLOOKUP($N96,'2 CODIFICATION'!$G$5:$L$71,3,FALSE)</f>
        <v>Cotisations individuelles et associatives</v>
      </c>
      <c r="R96" s="53" t="str">
        <f>VLOOKUP($N96,'2 CODIFICATION'!$G$5:$L$71,4,FALSE)</f>
        <v>pdts</v>
      </c>
      <c r="S96" s="53">
        <f>VLOOKUP($N96,'2 CODIFICATION'!$G$5:$L$71,5,FALSE)</f>
        <v>75</v>
      </c>
      <c r="T96" s="11" t="str">
        <f>VLOOKUP($N96,'2 CODIFICATION'!$G$5:$L$71,6,FALSE)</f>
        <v>Autres produits de gestion courante</v>
      </c>
    </row>
    <row r="97" spans="1:20" ht="14.5" hidden="1" customHeight="1">
      <c r="A97" s="72" t="s">
        <v>170</v>
      </c>
      <c r="B97" s="29" t="s">
        <v>79</v>
      </c>
      <c r="C97" s="12">
        <f>1+C95</f>
        <v>22</v>
      </c>
      <c r="D97" s="112">
        <v>44381</v>
      </c>
      <c r="E97" s="126" t="s">
        <v>244</v>
      </c>
      <c r="F97" s="126" t="s">
        <v>253</v>
      </c>
      <c r="G97" s="229">
        <v>110</v>
      </c>
      <c r="H97" s="114"/>
      <c r="I97" s="66">
        <f t="shared" si="4"/>
        <v>6717.18</v>
      </c>
      <c r="J97" s="163" t="s">
        <v>232</v>
      </c>
      <c r="K97" s="104">
        <v>7771</v>
      </c>
      <c r="L97" s="74" t="str">
        <f>VLOOKUP($J97,'2 CODIFICATION'!A$5:B$17,2,"FAUX")</f>
        <v>DASSOUTE TEUILLAC CONST ECOLE</v>
      </c>
      <c r="M97" s="74" t="str">
        <f>VLOOKUP($K97,'2 CODIFICATION'!D$8:E$64,2,"FAUX")</f>
        <v>Dons et participations à l"association</v>
      </c>
      <c r="N97" s="45">
        <f t="shared" si="9"/>
        <v>777100</v>
      </c>
      <c r="O97" s="14">
        <f t="shared" si="7"/>
        <v>110</v>
      </c>
      <c r="P97" s="84">
        <f t="shared" si="8"/>
        <v>2021</v>
      </c>
      <c r="Q97" s="11" t="str">
        <f>VLOOKUP($N97,'2 CODIFICATION'!$G$5:$L$71,3,FALSE)</f>
        <v>Dons et autres mises à dispositions gratuites</v>
      </c>
      <c r="R97" s="53" t="str">
        <f>VLOOKUP($N97,'2 CODIFICATION'!$G$5:$L$71,4,FALSE)</f>
        <v>pdts</v>
      </c>
      <c r="S97" s="53">
        <f>VLOOKUP($N97,'2 CODIFICATION'!$G$5:$L$71,5,FALSE)</f>
        <v>77</v>
      </c>
      <c r="T97" s="11" t="str">
        <f>VLOOKUP($N97,'2 CODIFICATION'!$G$5:$L$71,6,FALSE)</f>
        <v>Produits exceptionnels</v>
      </c>
    </row>
    <row r="98" spans="1:20" ht="14.5" hidden="1" customHeight="1">
      <c r="A98" s="106" t="s">
        <v>170</v>
      </c>
      <c r="B98" s="106" t="s">
        <v>79</v>
      </c>
      <c r="C98" s="12">
        <f t="shared" si="10"/>
        <v>23</v>
      </c>
      <c r="D98" s="112">
        <v>44385</v>
      </c>
      <c r="E98" s="117" t="s">
        <v>223</v>
      </c>
      <c r="F98" s="126" t="s">
        <v>253</v>
      </c>
      <c r="G98" s="229">
        <v>98.06</v>
      </c>
      <c r="H98" s="114"/>
      <c r="I98" s="66">
        <f t="shared" si="4"/>
        <v>6815.2400000000007</v>
      </c>
      <c r="J98" s="163" t="s">
        <v>273</v>
      </c>
      <c r="K98" s="104">
        <v>6160</v>
      </c>
      <c r="L98" s="74" t="str">
        <f>VLOOKUP($J98,'2 CODIFICATION'!A$5:B$17,2,"FAUX")</f>
        <v>ADMINIST ET FONCT</v>
      </c>
      <c r="M98" s="74" t="str">
        <f>VLOOKUP($K98,'2 CODIFICATION'!D$8:E$64,2,"FAUX")</f>
        <v>Assurance RC</v>
      </c>
      <c r="N98" s="45">
        <f t="shared" si="9"/>
        <v>616000</v>
      </c>
      <c r="O98" s="14">
        <f t="shared" si="7"/>
        <v>98.06</v>
      </c>
      <c r="P98" s="84">
        <f t="shared" si="8"/>
        <v>2021</v>
      </c>
      <c r="Q98" s="11" t="str">
        <f>VLOOKUP($N98,'2 CODIFICATION'!$G$5:$L$71,3,FALSE)</f>
        <v>Primes d'assurance</v>
      </c>
      <c r="R98" s="53" t="str">
        <f>VLOOKUP($N98,'2 CODIFICATION'!$G$5:$L$71,4,FALSE)</f>
        <v>chges</v>
      </c>
      <c r="S98" s="53">
        <f>VLOOKUP($N98,'2 CODIFICATION'!$G$5:$L$71,5,FALSE)</f>
        <v>61</v>
      </c>
      <c r="T98" s="11" t="str">
        <f>VLOOKUP($N98,'2 CODIFICATION'!$G$5:$L$71,6,FALSE)</f>
        <v>Services extérieurs</v>
      </c>
    </row>
    <row r="99" spans="1:20" ht="14.5" hidden="1" customHeight="1">
      <c r="A99" s="72" t="s">
        <v>170</v>
      </c>
      <c r="B99" s="29" t="s">
        <v>79</v>
      </c>
      <c r="C99" s="12">
        <f t="shared" si="10"/>
        <v>24</v>
      </c>
      <c r="D99" s="76">
        <v>44385</v>
      </c>
      <c r="E99" s="126" t="s">
        <v>244</v>
      </c>
      <c r="F99" s="126" t="s">
        <v>253</v>
      </c>
      <c r="G99" s="230">
        <v>599</v>
      </c>
      <c r="H99" s="14"/>
      <c r="I99" s="66">
        <f t="shared" si="4"/>
        <v>7414.2400000000007</v>
      </c>
      <c r="J99" s="163" t="s">
        <v>232</v>
      </c>
      <c r="K99" s="104">
        <v>7771</v>
      </c>
      <c r="L99" s="74" t="str">
        <f>VLOOKUP($J99,'2 CODIFICATION'!A$5:B$17,2,"FAUX")</f>
        <v>DASSOUTE TEUILLAC CONST ECOLE</v>
      </c>
      <c r="M99" s="74" t="str">
        <f>VLOOKUP($K99,'2 CODIFICATION'!D$8:E$64,2,"FAUX")</f>
        <v>Dons et participations à l"association</v>
      </c>
      <c r="N99" s="45">
        <f t="shared" si="9"/>
        <v>777100</v>
      </c>
      <c r="O99" s="14">
        <f t="shared" si="7"/>
        <v>599</v>
      </c>
      <c r="P99" s="84">
        <f t="shared" si="8"/>
        <v>2021</v>
      </c>
      <c r="Q99" s="11" t="str">
        <f>VLOOKUP($N99,'2 CODIFICATION'!$G$5:$L$71,3,FALSE)</f>
        <v>Dons et autres mises à dispositions gratuites</v>
      </c>
      <c r="R99" s="53" t="str">
        <f>VLOOKUP($N99,'2 CODIFICATION'!$G$5:$L$71,4,FALSE)</f>
        <v>pdts</v>
      </c>
      <c r="S99" s="53">
        <f>VLOOKUP($N99,'2 CODIFICATION'!$G$5:$L$71,5,FALSE)</f>
        <v>77</v>
      </c>
      <c r="T99" s="11" t="str">
        <f>VLOOKUP($N99,'2 CODIFICATION'!$G$5:$L$71,6,FALSE)</f>
        <v>Produits exceptionnels</v>
      </c>
    </row>
    <row r="100" spans="1:20" ht="14.5" hidden="1" customHeight="1">
      <c r="A100" s="72" t="s">
        <v>170</v>
      </c>
      <c r="B100" s="29" t="s">
        <v>79</v>
      </c>
      <c r="C100" s="12">
        <f t="shared" si="10"/>
        <v>25</v>
      </c>
      <c r="D100" s="76">
        <v>44385</v>
      </c>
      <c r="E100" s="126" t="s">
        <v>244</v>
      </c>
      <c r="F100" s="129" t="s">
        <v>253</v>
      </c>
      <c r="G100" s="230">
        <v>350</v>
      </c>
      <c r="H100" s="14"/>
      <c r="I100" s="66">
        <f t="shared" si="4"/>
        <v>7764.2400000000007</v>
      </c>
      <c r="J100" s="163" t="s">
        <v>232</v>
      </c>
      <c r="K100" s="104">
        <v>7771</v>
      </c>
      <c r="L100" s="74" t="str">
        <f>VLOOKUP($J100,'2 CODIFICATION'!A$5:B$17,2,"FAUX")</f>
        <v>DASSOUTE TEUILLAC CONST ECOLE</v>
      </c>
      <c r="M100" s="74" t="str">
        <f>VLOOKUP($K100,'2 CODIFICATION'!D$8:E$64,2,"FAUX")</f>
        <v>Dons et participations à l"association</v>
      </c>
      <c r="N100" s="45">
        <f t="shared" si="9"/>
        <v>777100</v>
      </c>
      <c r="O100" s="14">
        <f t="shared" si="7"/>
        <v>350</v>
      </c>
      <c r="P100" s="84">
        <f t="shared" si="8"/>
        <v>2021</v>
      </c>
      <c r="Q100" s="11" t="str">
        <f>VLOOKUP($N100,'2 CODIFICATION'!$G$5:$L$71,3,FALSE)</f>
        <v>Dons et autres mises à dispositions gratuites</v>
      </c>
      <c r="R100" s="53" t="str">
        <f>VLOOKUP($N100,'2 CODIFICATION'!$G$5:$L$71,4,FALSE)</f>
        <v>pdts</v>
      </c>
      <c r="S100" s="53">
        <f>VLOOKUP($N100,'2 CODIFICATION'!$G$5:$L$71,5,FALSE)</f>
        <v>77</v>
      </c>
      <c r="T100" s="11" t="str">
        <f>VLOOKUP($N100,'2 CODIFICATION'!$G$5:$L$71,6,FALSE)</f>
        <v>Produits exceptionnels</v>
      </c>
    </row>
    <row r="101" spans="1:20" ht="14.5" hidden="1" customHeight="1">
      <c r="A101" s="72" t="s">
        <v>170</v>
      </c>
      <c r="B101" s="29" t="s">
        <v>79</v>
      </c>
      <c r="C101" s="12">
        <f t="shared" si="10"/>
        <v>26</v>
      </c>
      <c r="D101" s="76">
        <v>44384</v>
      </c>
      <c r="E101" s="126" t="s">
        <v>244</v>
      </c>
      <c r="F101" s="126" t="s">
        <v>253</v>
      </c>
      <c r="G101" s="230">
        <v>260</v>
      </c>
      <c r="H101" s="14"/>
      <c r="I101" s="66">
        <f t="shared" si="4"/>
        <v>8024.2400000000007</v>
      </c>
      <c r="J101" s="163" t="s">
        <v>232</v>
      </c>
      <c r="K101" s="104">
        <v>7771</v>
      </c>
      <c r="L101" s="74" t="str">
        <f>VLOOKUP($J101,'2 CODIFICATION'!A$5:B$17,2,"FAUX")</f>
        <v>DASSOUTE TEUILLAC CONST ECOLE</v>
      </c>
      <c r="M101" s="74" t="str">
        <f>VLOOKUP($K101,'2 CODIFICATION'!D$8:E$64,2,"FAUX")</f>
        <v>Dons et participations à l"association</v>
      </c>
      <c r="N101" s="45">
        <f t="shared" si="9"/>
        <v>777100</v>
      </c>
      <c r="O101" s="14">
        <f t="shared" si="7"/>
        <v>260</v>
      </c>
      <c r="P101" s="84">
        <f t="shared" si="8"/>
        <v>2021</v>
      </c>
      <c r="Q101" s="11" t="str">
        <f>VLOOKUP($N101,'2 CODIFICATION'!$G$5:$L$71,3,FALSE)</f>
        <v>Dons et autres mises à dispositions gratuites</v>
      </c>
      <c r="R101" s="53" t="str">
        <f>VLOOKUP($N101,'2 CODIFICATION'!$G$5:$L$71,4,FALSE)</f>
        <v>pdts</v>
      </c>
      <c r="S101" s="53">
        <f>VLOOKUP($N101,'2 CODIFICATION'!$G$5:$L$71,5,FALSE)</f>
        <v>77</v>
      </c>
      <c r="T101" s="11" t="str">
        <f>VLOOKUP($N101,'2 CODIFICATION'!$G$5:$L$71,6,FALSE)</f>
        <v>Produits exceptionnels</v>
      </c>
    </row>
    <row r="102" spans="1:20" ht="14.5" hidden="1" customHeight="1">
      <c r="A102" s="106" t="s">
        <v>170</v>
      </c>
      <c r="B102" s="106" t="s">
        <v>79</v>
      </c>
      <c r="C102" s="12">
        <f t="shared" si="10"/>
        <v>27</v>
      </c>
      <c r="D102" s="112">
        <v>44389</v>
      </c>
      <c r="E102" s="128" t="s">
        <v>245</v>
      </c>
      <c r="F102" s="126" t="s">
        <v>256</v>
      </c>
      <c r="G102" s="113">
        <v>0</v>
      </c>
      <c r="H102" s="230">
        <v>2000</v>
      </c>
      <c r="I102" s="66">
        <f t="shared" si="4"/>
        <v>6024.2400000000007</v>
      </c>
      <c r="J102" s="163" t="s">
        <v>232</v>
      </c>
      <c r="K102" s="104">
        <v>6110</v>
      </c>
      <c r="L102" s="74" t="str">
        <f>VLOOKUP($J102,'2 CODIFICATION'!A$5:B$17,2,"FAUX")</f>
        <v>DASSOUTE TEUILLAC CONST ECOLE</v>
      </c>
      <c r="M102" s="74" t="str">
        <f>VLOOKUP($K102,'2 CODIFICATION'!D$8:E$64,2,"FAUX")</f>
        <v>Sous traitance projet</v>
      </c>
      <c r="N102" s="45">
        <f t="shared" si="9"/>
        <v>611000</v>
      </c>
      <c r="O102" s="14">
        <f t="shared" si="7"/>
        <v>-2000</v>
      </c>
      <c r="P102" s="84">
        <f t="shared" si="8"/>
        <v>2021</v>
      </c>
      <c r="Q102" s="11" t="str">
        <f>VLOOKUP($N102,'2 CODIFICATION'!$G$5:$L$71,3,FALSE)</f>
        <v xml:space="preserve">Sous-traitance générale </v>
      </c>
      <c r="R102" s="53" t="str">
        <f>VLOOKUP($N102,'2 CODIFICATION'!$G$5:$L$71,4,FALSE)</f>
        <v>chges</v>
      </c>
      <c r="S102" s="53">
        <f>VLOOKUP($N102,'2 CODIFICATION'!$G$5:$L$71,5,FALSE)</f>
        <v>61</v>
      </c>
      <c r="T102" s="11" t="str">
        <f>VLOOKUP($N102,'2 CODIFICATION'!$G$5:$L$71,6,FALSE)</f>
        <v>Services extérieurs</v>
      </c>
    </row>
    <row r="103" spans="1:20" ht="14.5" hidden="1" customHeight="1">
      <c r="A103" s="106" t="s">
        <v>170</v>
      </c>
      <c r="B103" s="106" t="s">
        <v>79</v>
      </c>
      <c r="C103" s="12">
        <f t="shared" si="10"/>
        <v>28</v>
      </c>
      <c r="D103" s="112">
        <v>44389</v>
      </c>
      <c r="E103" s="128" t="s">
        <v>246</v>
      </c>
      <c r="F103" s="126" t="s">
        <v>257</v>
      </c>
      <c r="G103" s="113">
        <v>0</v>
      </c>
      <c r="H103" s="231">
        <v>18.2</v>
      </c>
      <c r="I103" s="66">
        <f t="shared" si="4"/>
        <v>6006.0400000000009</v>
      </c>
      <c r="J103" s="163" t="s">
        <v>232</v>
      </c>
      <c r="K103" s="104">
        <v>6270</v>
      </c>
      <c r="L103" s="74" t="str">
        <f>VLOOKUP($J103,'2 CODIFICATION'!A$5:B$17,2,"FAUX")</f>
        <v>DASSOUTE TEUILLAC CONST ECOLE</v>
      </c>
      <c r="M103" s="74" t="str">
        <f>VLOOKUP($K103,'2 CODIFICATION'!D$8:E$64,2,"FAUX")</f>
        <v>Frais de banque</v>
      </c>
      <c r="N103" s="45">
        <f t="shared" si="9"/>
        <v>627000</v>
      </c>
      <c r="O103" s="14">
        <f t="shared" si="7"/>
        <v>-18.2</v>
      </c>
      <c r="P103" s="84">
        <f t="shared" si="8"/>
        <v>2021</v>
      </c>
      <c r="Q103" s="11" t="str">
        <f>VLOOKUP($N103,'2 CODIFICATION'!$G$5:$L$71,3,FALSE)</f>
        <v>Frais bancaires</v>
      </c>
      <c r="R103" s="53" t="str">
        <f>VLOOKUP($N103,'2 CODIFICATION'!$G$5:$L$71,4,FALSE)</f>
        <v>chges</v>
      </c>
      <c r="S103" s="53">
        <f>VLOOKUP($N103,'2 CODIFICATION'!$G$5:$L$71,5,FALSE)</f>
        <v>62</v>
      </c>
      <c r="T103" s="11" t="str">
        <f>VLOOKUP($N103,'2 CODIFICATION'!$G$5:$L$71,6,FALSE)</f>
        <v>Autres services extérieurs</v>
      </c>
    </row>
    <row r="104" spans="1:20" ht="14.5" hidden="1" customHeight="1">
      <c r="A104" s="72" t="s">
        <v>170</v>
      </c>
      <c r="B104" s="29" t="s">
        <v>79</v>
      </c>
      <c r="C104" s="12">
        <f>1+C102</f>
        <v>28</v>
      </c>
      <c r="D104" s="112">
        <v>44393</v>
      </c>
      <c r="E104" s="117" t="s">
        <v>224</v>
      </c>
      <c r="F104" s="126" t="s">
        <v>253</v>
      </c>
      <c r="G104" s="151"/>
      <c r="H104" s="229">
        <v>-2000</v>
      </c>
      <c r="I104" s="66">
        <f t="shared" si="4"/>
        <v>8006.0400000000009</v>
      </c>
      <c r="J104" s="163" t="s">
        <v>232</v>
      </c>
      <c r="K104" s="104">
        <v>6110</v>
      </c>
      <c r="L104" s="74" t="str">
        <f>VLOOKUP($J104,'2 CODIFICATION'!A$5:B$17,2,"FAUX")</f>
        <v>DASSOUTE TEUILLAC CONST ECOLE</v>
      </c>
      <c r="M104" s="74" t="str">
        <f>VLOOKUP($K104,'2 CODIFICATION'!D$8:E$64,2,"FAUX")</f>
        <v>Sous traitance projet</v>
      </c>
      <c r="N104" s="45">
        <f t="shared" si="9"/>
        <v>611000</v>
      </c>
      <c r="O104" s="14">
        <f t="shared" si="7"/>
        <v>2000</v>
      </c>
      <c r="P104" s="84">
        <f t="shared" si="8"/>
        <v>2021</v>
      </c>
      <c r="Q104" s="11" t="str">
        <f>VLOOKUP($N104,'2 CODIFICATION'!$G$5:$L$71,3,FALSE)</f>
        <v xml:space="preserve">Sous-traitance générale </v>
      </c>
      <c r="R104" s="53" t="str">
        <f>VLOOKUP($N104,'2 CODIFICATION'!$G$5:$L$71,4,FALSE)</f>
        <v>chges</v>
      </c>
      <c r="S104" s="53">
        <f>VLOOKUP($N104,'2 CODIFICATION'!$G$5:$L$71,5,FALSE)</f>
        <v>61</v>
      </c>
      <c r="T104" s="11" t="str">
        <f>VLOOKUP($N104,'2 CODIFICATION'!$G$5:$L$71,6,FALSE)</f>
        <v>Services extérieurs</v>
      </c>
    </row>
    <row r="105" spans="1:20" ht="14.5" hidden="1" customHeight="1">
      <c r="A105" s="72" t="s">
        <v>170</v>
      </c>
      <c r="B105" s="29" t="s">
        <v>79</v>
      </c>
      <c r="C105" s="12">
        <f>1+C103</f>
        <v>29</v>
      </c>
      <c r="D105" s="112">
        <v>44393</v>
      </c>
      <c r="E105" s="117" t="s">
        <v>224</v>
      </c>
      <c r="F105" s="126" t="s">
        <v>253</v>
      </c>
      <c r="G105" s="151"/>
      <c r="H105" s="229">
        <f>2000-1867.5</f>
        <v>132.5</v>
      </c>
      <c r="I105" s="66">
        <f t="shared" ref="I105:I168" si="11">G105-H105+I104</f>
        <v>7873.5400000000009</v>
      </c>
      <c r="J105" s="163" t="s">
        <v>232</v>
      </c>
      <c r="K105" s="104">
        <v>6270</v>
      </c>
      <c r="L105" s="74" t="str">
        <f>VLOOKUP($J105,'2 CODIFICATION'!A$5:B$17,2,"FAUX")</f>
        <v>DASSOUTE TEUILLAC CONST ECOLE</v>
      </c>
      <c r="M105" s="74" t="str">
        <f>VLOOKUP($K105,'2 CODIFICATION'!D$8:E$64,2,"FAUX")</f>
        <v>Frais de banque</v>
      </c>
      <c r="N105" s="45">
        <f t="shared" si="9"/>
        <v>627000</v>
      </c>
      <c r="O105" s="14">
        <f t="shared" si="7"/>
        <v>-132.5</v>
      </c>
      <c r="P105" s="84">
        <f t="shared" si="8"/>
        <v>2021</v>
      </c>
      <c r="Q105" s="11" t="str">
        <f>VLOOKUP($N105,'2 CODIFICATION'!$G$5:$L$71,3,FALSE)</f>
        <v>Frais bancaires</v>
      </c>
      <c r="R105" s="53" t="str">
        <f>VLOOKUP($N105,'2 CODIFICATION'!$G$5:$L$71,4,FALSE)</f>
        <v>chges</v>
      </c>
      <c r="S105" s="53">
        <f>VLOOKUP($N105,'2 CODIFICATION'!$G$5:$L$71,5,FALSE)</f>
        <v>62</v>
      </c>
      <c r="T105" s="11" t="str">
        <f>VLOOKUP($N105,'2 CODIFICATION'!$G$5:$L$71,6,FALSE)</f>
        <v>Autres services extérieurs</v>
      </c>
    </row>
    <row r="106" spans="1:20" ht="14.5" hidden="1" customHeight="1">
      <c r="A106" s="72" t="s">
        <v>170</v>
      </c>
      <c r="B106" s="29" t="s">
        <v>79</v>
      </c>
      <c r="C106" s="12">
        <f>1+C105</f>
        <v>30</v>
      </c>
      <c r="D106" s="112">
        <v>44393</v>
      </c>
      <c r="E106" s="128" t="s">
        <v>247</v>
      </c>
      <c r="F106" s="126" t="s">
        <v>257</v>
      </c>
      <c r="G106" s="113"/>
      <c r="H106" s="229">
        <v>23.25</v>
      </c>
      <c r="I106" s="66">
        <f t="shared" si="11"/>
        <v>7850.2900000000009</v>
      </c>
      <c r="J106" s="163" t="s">
        <v>232</v>
      </c>
      <c r="K106" s="104">
        <v>6270</v>
      </c>
      <c r="L106" s="74" t="str">
        <f>VLOOKUP($J106,'2 CODIFICATION'!A$5:B$17,2,"FAUX")</f>
        <v>DASSOUTE TEUILLAC CONST ECOLE</v>
      </c>
      <c r="M106" s="74" t="str">
        <f>VLOOKUP($K106,'2 CODIFICATION'!D$8:E$64,2,"FAUX")</f>
        <v>Frais de banque</v>
      </c>
      <c r="N106" s="45">
        <f t="shared" si="9"/>
        <v>627000</v>
      </c>
      <c r="O106" s="14">
        <f t="shared" si="7"/>
        <v>-23.25</v>
      </c>
      <c r="P106" s="84">
        <f t="shared" si="8"/>
        <v>2021</v>
      </c>
      <c r="Q106" s="11" t="str">
        <f>VLOOKUP($N106,'2 CODIFICATION'!$G$5:$L$71,3,FALSE)</f>
        <v>Frais bancaires</v>
      </c>
      <c r="R106" s="53" t="str">
        <f>VLOOKUP($N106,'2 CODIFICATION'!$G$5:$L$71,4,FALSE)</f>
        <v>chges</v>
      </c>
      <c r="S106" s="53">
        <f>VLOOKUP($N106,'2 CODIFICATION'!$G$5:$L$71,5,FALSE)</f>
        <v>62</v>
      </c>
      <c r="T106" s="11" t="str">
        <f>VLOOKUP($N106,'2 CODIFICATION'!$G$5:$L$71,6,FALSE)</f>
        <v>Autres services extérieurs</v>
      </c>
    </row>
    <row r="107" spans="1:20" ht="14.5" hidden="1" customHeight="1">
      <c r="A107" s="72" t="s">
        <v>170</v>
      </c>
      <c r="B107" s="29" t="s">
        <v>79</v>
      </c>
      <c r="C107" s="12">
        <f>1+C106</f>
        <v>31</v>
      </c>
      <c r="D107" s="112">
        <v>44395</v>
      </c>
      <c r="E107" s="128" t="s">
        <v>248</v>
      </c>
      <c r="F107" s="129" t="s">
        <v>259</v>
      </c>
      <c r="G107" s="113"/>
      <c r="H107" s="229">
        <f>315.7</f>
        <v>315.7</v>
      </c>
      <c r="I107" s="66">
        <f t="shared" si="11"/>
        <v>7534.5900000000011</v>
      </c>
      <c r="J107" s="163" t="s">
        <v>234</v>
      </c>
      <c r="K107" s="104">
        <v>6240</v>
      </c>
      <c r="L107" s="74" t="str">
        <f>VLOOKUP($J107,'2 CODIFICATION'!A$5:B$17,2,"FAUX")</f>
        <v>DASSOUTE TEUILLAC COLLEGE</v>
      </c>
      <c r="M107" s="74" t="str">
        <f>VLOOKUP($K107,'2 CODIFICATION'!D$8:E$64,2,"FAUX")</f>
        <v>Transports</v>
      </c>
      <c r="N107" s="45">
        <f t="shared" si="9"/>
        <v>624000</v>
      </c>
      <c r="O107" s="14">
        <f t="shared" si="7"/>
        <v>-315.7</v>
      </c>
      <c r="P107" s="84">
        <f t="shared" si="8"/>
        <v>2021</v>
      </c>
      <c r="Q107" s="11" t="str">
        <f>VLOOKUP($N107,'2 CODIFICATION'!$G$5:$L$71,3,FALSE)</f>
        <v>Transports</v>
      </c>
      <c r="R107" s="53" t="str">
        <f>VLOOKUP($N107,'2 CODIFICATION'!$G$5:$L$71,4,FALSE)</f>
        <v>chges</v>
      </c>
      <c r="S107" s="53">
        <f>VLOOKUP($N107,'2 CODIFICATION'!$G$5:$L$71,5,FALSE)</f>
        <v>62</v>
      </c>
      <c r="T107" s="11" t="str">
        <f>VLOOKUP($N107,'2 CODIFICATION'!$G$5:$L$71,6,FALSE)</f>
        <v>Charges de personnel</v>
      </c>
    </row>
    <row r="108" spans="1:20" ht="14.5" hidden="1" customHeight="1">
      <c r="A108" s="72" t="s">
        <v>170</v>
      </c>
      <c r="B108" s="29" t="s">
        <v>79</v>
      </c>
      <c r="C108" s="12">
        <f t="shared" si="10"/>
        <v>32</v>
      </c>
      <c r="D108" s="112">
        <v>44395</v>
      </c>
      <c r="E108" s="128" t="s">
        <v>249</v>
      </c>
      <c r="F108" s="129" t="s">
        <v>256</v>
      </c>
      <c r="G108" s="113"/>
      <c r="H108" s="229">
        <v>1200</v>
      </c>
      <c r="I108" s="66">
        <f t="shared" si="11"/>
        <v>6334.5900000000011</v>
      </c>
      <c r="J108" s="135" t="s">
        <v>232</v>
      </c>
      <c r="K108" s="104">
        <v>6070</v>
      </c>
      <c r="L108" s="74" t="str">
        <f>VLOOKUP($J108,'2 CODIFICATION'!A$5:B$17,2,"FAUX")</f>
        <v>DASSOUTE TEUILLAC CONST ECOLE</v>
      </c>
      <c r="M108" s="74" t="str">
        <f>VLOOKUP($K108,'2 CODIFICATION'!D$8:E$64,2,"FAUX")</f>
        <v>Achats matériaux</v>
      </c>
      <c r="N108" s="45">
        <f t="shared" si="9"/>
        <v>607000</v>
      </c>
      <c r="O108" s="14">
        <f t="shared" si="7"/>
        <v>-1200</v>
      </c>
      <c r="P108" s="84">
        <f t="shared" si="8"/>
        <v>2021</v>
      </c>
      <c r="Q108" s="11" t="str">
        <f>VLOOKUP($N108,'2 CODIFICATION'!$G$5:$L$71,3,FALSE)</f>
        <v>Achats matériaux</v>
      </c>
      <c r="R108" s="53" t="str">
        <f>VLOOKUP($N108,'2 CODIFICATION'!$G$5:$L$71,4,FALSE)</f>
        <v>chges</v>
      </c>
      <c r="S108" s="53">
        <f>VLOOKUP($N108,'2 CODIFICATION'!$G$5:$L$71,5,FALSE)</f>
        <v>60</v>
      </c>
      <c r="T108" s="11" t="str">
        <f>VLOOKUP($N108,'2 CODIFICATION'!$G$5:$L$71,6,FALSE)</f>
        <v>Achat</v>
      </c>
    </row>
    <row r="109" spans="1:20" ht="14.5" hidden="1" customHeight="1">
      <c r="A109" s="72" t="s">
        <v>170</v>
      </c>
      <c r="B109" s="29" t="s">
        <v>79</v>
      </c>
      <c r="C109" s="12">
        <f t="shared" si="10"/>
        <v>33</v>
      </c>
      <c r="D109" s="112">
        <v>44395</v>
      </c>
      <c r="E109" s="128" t="s">
        <v>250</v>
      </c>
      <c r="F109" s="129" t="s">
        <v>256</v>
      </c>
      <c r="G109" s="113"/>
      <c r="H109" s="229">
        <v>17.7</v>
      </c>
      <c r="I109" s="66">
        <f t="shared" si="11"/>
        <v>6316.8900000000012</v>
      </c>
      <c r="J109" s="135" t="s">
        <v>232</v>
      </c>
      <c r="K109" s="104">
        <v>6070</v>
      </c>
      <c r="L109" s="74" t="str">
        <f>VLOOKUP($J109,'2 CODIFICATION'!A$5:B$17,2,"FAUX")</f>
        <v>DASSOUTE TEUILLAC CONST ECOLE</v>
      </c>
      <c r="M109" s="74" t="str">
        <f>VLOOKUP($K109,'2 CODIFICATION'!D$8:E$64,2,"FAUX")</f>
        <v>Achats matériaux</v>
      </c>
      <c r="N109" s="45">
        <f t="shared" si="9"/>
        <v>607000</v>
      </c>
      <c r="O109" s="14">
        <f t="shared" si="7"/>
        <v>-17.7</v>
      </c>
      <c r="P109" s="84">
        <f t="shared" si="8"/>
        <v>2021</v>
      </c>
      <c r="Q109" s="11" t="str">
        <f>VLOOKUP($N109,'2 CODIFICATION'!$G$5:$L$71,3,FALSE)</f>
        <v>Achats matériaux</v>
      </c>
      <c r="R109" s="53" t="str">
        <f>VLOOKUP($N109,'2 CODIFICATION'!$G$5:$L$71,4,FALSE)</f>
        <v>chges</v>
      </c>
      <c r="S109" s="53">
        <f>VLOOKUP($N109,'2 CODIFICATION'!$G$5:$L$71,5,FALSE)</f>
        <v>60</v>
      </c>
      <c r="T109" s="11" t="str">
        <f>VLOOKUP($N109,'2 CODIFICATION'!$G$5:$L$71,6,FALSE)</f>
        <v>Achat</v>
      </c>
    </row>
    <row r="110" spans="1:20" ht="14.5" hidden="1" customHeight="1">
      <c r="A110" s="72" t="s">
        <v>170</v>
      </c>
      <c r="B110" s="29" t="s">
        <v>79</v>
      </c>
      <c r="C110" s="12">
        <f t="shared" si="10"/>
        <v>34</v>
      </c>
      <c r="D110" s="112">
        <v>44398</v>
      </c>
      <c r="E110" s="118" t="s">
        <v>229</v>
      </c>
      <c r="F110" s="129" t="s">
        <v>257</v>
      </c>
      <c r="G110" s="113"/>
      <c r="H110" s="229">
        <v>18.2</v>
      </c>
      <c r="I110" s="66">
        <f t="shared" si="11"/>
        <v>6298.6900000000014</v>
      </c>
      <c r="J110" s="163" t="s">
        <v>198</v>
      </c>
      <c r="K110" s="104">
        <v>6270</v>
      </c>
      <c r="L110" s="74" t="str">
        <f>VLOOKUP($J110,'2 CODIFICATION'!A$5:B$17,2,"FAUX")</f>
        <v>HYGIENE MENSTRUELLE</v>
      </c>
      <c r="M110" s="74" t="str">
        <f>VLOOKUP($K110,'2 CODIFICATION'!D$8:E$64,2,"FAUX")</f>
        <v>Frais de banque</v>
      </c>
      <c r="N110" s="45">
        <f t="shared" si="9"/>
        <v>627000</v>
      </c>
      <c r="O110" s="14">
        <f t="shared" si="7"/>
        <v>-18.2</v>
      </c>
      <c r="P110" s="84">
        <f t="shared" si="8"/>
        <v>2021</v>
      </c>
      <c r="Q110" s="11" t="str">
        <f>VLOOKUP($N110,'2 CODIFICATION'!$G$5:$L$71,3,FALSE)</f>
        <v>Frais bancaires</v>
      </c>
      <c r="R110" s="53" t="str">
        <f>VLOOKUP($N110,'2 CODIFICATION'!$G$5:$L$71,4,FALSE)</f>
        <v>chges</v>
      </c>
      <c r="S110" s="53">
        <f>VLOOKUP($N110,'2 CODIFICATION'!$G$5:$L$71,5,FALSE)</f>
        <v>62</v>
      </c>
      <c r="T110" s="11" t="str">
        <f>VLOOKUP($N110,'2 CODIFICATION'!$G$5:$L$71,6,FALSE)</f>
        <v>Autres services extérieurs</v>
      </c>
    </row>
    <row r="111" spans="1:20" ht="14.5" hidden="1" customHeight="1">
      <c r="A111" s="72" t="s">
        <v>170</v>
      </c>
      <c r="B111" s="29" t="s">
        <v>79</v>
      </c>
      <c r="C111" s="12">
        <f t="shared" si="10"/>
        <v>35</v>
      </c>
      <c r="D111" s="112">
        <v>44398</v>
      </c>
      <c r="E111" s="118" t="s">
        <v>228</v>
      </c>
      <c r="F111" s="129" t="s">
        <v>258</v>
      </c>
      <c r="G111" s="113"/>
      <c r="H111" s="229">
        <v>5000</v>
      </c>
      <c r="I111" s="66">
        <f t="shared" si="11"/>
        <v>1298.6900000000014</v>
      </c>
      <c r="J111" s="163" t="s">
        <v>198</v>
      </c>
      <c r="K111" s="104">
        <v>6110</v>
      </c>
      <c r="L111" s="74" t="str">
        <f>VLOOKUP($J111,'2 CODIFICATION'!A$5:B$17,2,"FAUX")</f>
        <v>HYGIENE MENSTRUELLE</v>
      </c>
      <c r="M111" s="74" t="str">
        <f>VLOOKUP($K111,'2 CODIFICATION'!D$8:E$64,2,"FAUX")</f>
        <v>Sous traitance projet</v>
      </c>
      <c r="N111" s="45">
        <f t="shared" si="9"/>
        <v>611000</v>
      </c>
      <c r="O111" s="14">
        <f t="shared" si="7"/>
        <v>-5000</v>
      </c>
      <c r="P111" s="84">
        <f t="shared" si="8"/>
        <v>2021</v>
      </c>
      <c r="Q111" s="11" t="str">
        <f>VLOOKUP($N111,'2 CODIFICATION'!$G$5:$L$71,3,FALSE)</f>
        <v xml:space="preserve">Sous-traitance générale </v>
      </c>
      <c r="R111" s="53" t="str">
        <f>VLOOKUP($N111,'2 CODIFICATION'!$G$5:$L$71,4,FALSE)</f>
        <v>chges</v>
      </c>
      <c r="S111" s="53">
        <f>VLOOKUP($N111,'2 CODIFICATION'!$G$5:$L$71,5,FALSE)</f>
        <v>61</v>
      </c>
      <c r="T111" s="11" t="str">
        <f>VLOOKUP($N111,'2 CODIFICATION'!$G$5:$L$71,6,FALSE)</f>
        <v>Services extérieurs</v>
      </c>
    </row>
    <row r="112" spans="1:20" ht="14.5" hidden="1" customHeight="1">
      <c r="A112" s="72" t="s">
        <v>170</v>
      </c>
      <c r="B112" s="29" t="s">
        <v>79</v>
      </c>
      <c r="C112" s="12">
        <f t="shared" si="10"/>
        <v>36</v>
      </c>
      <c r="D112" s="112">
        <v>44407</v>
      </c>
      <c r="E112" s="118" t="s">
        <v>225</v>
      </c>
      <c r="F112" s="129" t="s">
        <v>253</v>
      </c>
      <c r="G112" s="229">
        <v>1333</v>
      </c>
      <c r="H112" s="114"/>
      <c r="I112" s="66">
        <f t="shared" si="11"/>
        <v>2631.6900000000014</v>
      </c>
      <c r="J112" s="163" t="s">
        <v>198</v>
      </c>
      <c r="K112" s="104">
        <v>7410</v>
      </c>
      <c r="L112" s="74" t="str">
        <f>VLOOKUP($J112,'2 CODIFICATION'!A$5:B$17,2,"FAUX")</f>
        <v>HYGIENE MENSTRUELLE</v>
      </c>
      <c r="M112" s="74" t="str">
        <f>VLOOKUP($K112,'2 CODIFICATION'!D$8:E$64,2,"FAUX")</f>
        <v>Subventions Région Nouvelle Aquitaine</v>
      </c>
      <c r="N112" s="45">
        <f t="shared" si="9"/>
        <v>741000</v>
      </c>
      <c r="O112" s="14">
        <f t="shared" si="7"/>
        <v>1333</v>
      </c>
      <c r="P112" s="84">
        <f t="shared" si="8"/>
        <v>2021</v>
      </c>
      <c r="Q112" s="11" t="str">
        <f>VLOOKUP($N112,'2 CODIFICATION'!$G$5:$L$71,3,FALSE)</f>
        <v>Région Nouvelle-Aquitaine</v>
      </c>
      <c r="R112" s="53" t="str">
        <f>VLOOKUP($N112,'2 CODIFICATION'!$G$5:$L$71,4,FALSE)</f>
        <v>pdts</v>
      </c>
      <c r="S112" s="53">
        <f>VLOOKUP($N112,'2 CODIFICATION'!$G$5:$L$71,5,FALSE)</f>
        <v>74</v>
      </c>
      <c r="T112" s="11" t="str">
        <f>VLOOKUP($N112,'2 CODIFICATION'!$G$5:$L$71,6,FALSE)</f>
        <v>Subventions d'exploitation</v>
      </c>
    </row>
    <row r="113" spans="1:20" ht="14.5" hidden="1" customHeight="1">
      <c r="A113" s="72" t="s">
        <v>170</v>
      </c>
      <c r="B113" s="29" t="s">
        <v>79</v>
      </c>
      <c r="C113" s="12">
        <f t="shared" si="10"/>
        <v>37</v>
      </c>
      <c r="D113" s="112">
        <v>44407</v>
      </c>
      <c r="E113" s="118" t="s">
        <v>225</v>
      </c>
      <c r="F113" s="129" t="s">
        <v>253</v>
      </c>
      <c r="G113" s="229">
        <v>6667</v>
      </c>
      <c r="H113" s="114"/>
      <c r="I113" s="66">
        <f t="shared" si="11"/>
        <v>9298.6900000000023</v>
      </c>
      <c r="J113" s="163" t="s">
        <v>198</v>
      </c>
      <c r="K113" s="104">
        <v>7410</v>
      </c>
      <c r="L113" s="74" t="str">
        <f>VLOOKUP($J113,'2 CODIFICATION'!A$5:B$17,2,"FAUX")</f>
        <v>HYGIENE MENSTRUELLE</v>
      </c>
      <c r="M113" s="74" t="str">
        <f>VLOOKUP($K113,'2 CODIFICATION'!D$8:E$64,2,"FAUX")</f>
        <v>Subventions Région Nouvelle Aquitaine</v>
      </c>
      <c r="N113" s="45">
        <f t="shared" si="9"/>
        <v>741000</v>
      </c>
      <c r="O113" s="14">
        <f t="shared" si="7"/>
        <v>6667</v>
      </c>
      <c r="P113" s="84">
        <f t="shared" si="8"/>
        <v>2021</v>
      </c>
      <c r="Q113" s="11" t="str">
        <f>VLOOKUP($N113,'2 CODIFICATION'!$G$5:$L$71,3,FALSE)</f>
        <v>Région Nouvelle-Aquitaine</v>
      </c>
      <c r="R113" s="53" t="str">
        <f>VLOOKUP($N113,'2 CODIFICATION'!$G$5:$L$71,4,FALSE)</f>
        <v>pdts</v>
      </c>
      <c r="S113" s="53">
        <f>VLOOKUP($N113,'2 CODIFICATION'!$G$5:$L$71,5,FALSE)</f>
        <v>74</v>
      </c>
      <c r="T113" s="11" t="str">
        <f>VLOOKUP($N113,'2 CODIFICATION'!$G$5:$L$71,6,FALSE)</f>
        <v>Subventions d'exploitation</v>
      </c>
    </row>
    <row r="114" spans="1:20" ht="14.5" hidden="1" customHeight="1">
      <c r="A114" s="72" t="s">
        <v>170</v>
      </c>
      <c r="B114" s="29" t="s">
        <v>79</v>
      </c>
      <c r="C114" s="12">
        <f>1+C112</f>
        <v>37</v>
      </c>
      <c r="D114" s="112">
        <v>44407</v>
      </c>
      <c r="E114" s="128" t="s">
        <v>289</v>
      </c>
      <c r="F114" s="129" t="s">
        <v>256</v>
      </c>
      <c r="G114" s="113"/>
      <c r="H114" s="229">
        <v>700</v>
      </c>
      <c r="I114" s="66">
        <f t="shared" si="11"/>
        <v>8598.6900000000023</v>
      </c>
      <c r="J114" s="135" t="s">
        <v>232</v>
      </c>
      <c r="K114" s="104">
        <v>6070</v>
      </c>
      <c r="L114" s="74" t="str">
        <f>VLOOKUP($J114,'2 CODIFICATION'!A$5:B$17,2,"FAUX")</f>
        <v>DASSOUTE TEUILLAC CONST ECOLE</v>
      </c>
      <c r="M114" s="74" t="str">
        <f>VLOOKUP($K114,'2 CODIFICATION'!D$8:E$64,2,"FAUX")</f>
        <v>Achats matériaux</v>
      </c>
      <c r="N114" s="45">
        <f t="shared" si="9"/>
        <v>607000</v>
      </c>
      <c r="O114" s="14">
        <f t="shared" si="7"/>
        <v>-700</v>
      </c>
      <c r="P114" s="84">
        <f t="shared" si="8"/>
        <v>2021</v>
      </c>
      <c r="Q114" s="11" t="str">
        <f>VLOOKUP($N114,'2 CODIFICATION'!$G$5:$L$71,3,FALSE)</f>
        <v>Achats matériaux</v>
      </c>
      <c r="R114" s="53" t="str">
        <f>VLOOKUP($N114,'2 CODIFICATION'!$G$5:$L$71,4,FALSE)</f>
        <v>chges</v>
      </c>
      <c r="S114" s="53">
        <f>VLOOKUP($N114,'2 CODIFICATION'!$G$5:$L$71,5,FALSE)</f>
        <v>60</v>
      </c>
      <c r="T114" s="11" t="str">
        <f>VLOOKUP($N114,'2 CODIFICATION'!$G$5:$L$71,6,FALSE)</f>
        <v>Achat</v>
      </c>
    </row>
    <row r="115" spans="1:20" ht="14.5" hidden="1" customHeight="1">
      <c r="A115" s="72" t="s">
        <v>170</v>
      </c>
      <c r="B115" s="29" t="s">
        <v>79</v>
      </c>
      <c r="C115" s="12">
        <f>1+C113</f>
        <v>38</v>
      </c>
      <c r="D115" s="112">
        <v>44407</v>
      </c>
      <c r="E115" s="128" t="s">
        <v>289</v>
      </c>
      <c r="F115" s="129" t="s">
        <v>256</v>
      </c>
      <c r="G115" s="113"/>
      <c r="H115" s="229">
        <v>9.8000000000000007</v>
      </c>
      <c r="I115" s="66">
        <f t="shared" si="11"/>
        <v>8588.8900000000031</v>
      </c>
      <c r="J115" s="135" t="s">
        <v>232</v>
      </c>
      <c r="K115" s="104">
        <v>6270</v>
      </c>
      <c r="L115" s="74" t="str">
        <f>VLOOKUP($J115,'2 CODIFICATION'!A$5:B$17,2,"FAUX")</f>
        <v>DASSOUTE TEUILLAC CONST ECOLE</v>
      </c>
      <c r="M115" s="74" t="str">
        <f>VLOOKUP($K115,'2 CODIFICATION'!D$8:E$64,2,"FAUX")</f>
        <v>Frais de banque</v>
      </c>
      <c r="N115" s="45">
        <f t="shared" si="9"/>
        <v>627000</v>
      </c>
      <c r="O115" s="14">
        <f t="shared" si="7"/>
        <v>-9.8000000000000007</v>
      </c>
      <c r="P115" s="84">
        <f t="shared" si="8"/>
        <v>2021</v>
      </c>
      <c r="Q115" s="11" t="str">
        <f>VLOOKUP($N115,'2 CODIFICATION'!$G$5:$L$71,3,FALSE)</f>
        <v>Frais bancaires</v>
      </c>
      <c r="R115" s="53" t="str">
        <f>VLOOKUP($N115,'2 CODIFICATION'!$G$5:$L$71,4,FALSE)</f>
        <v>chges</v>
      </c>
      <c r="S115" s="53">
        <f>VLOOKUP($N115,'2 CODIFICATION'!$G$5:$L$71,5,FALSE)</f>
        <v>62</v>
      </c>
      <c r="T115" s="11" t="str">
        <f>VLOOKUP($N115,'2 CODIFICATION'!$G$5:$L$71,6,FALSE)</f>
        <v>Autres services extérieurs</v>
      </c>
    </row>
    <row r="116" spans="1:20" ht="14.5" hidden="1" customHeight="1">
      <c r="A116" s="72" t="s">
        <v>170</v>
      </c>
      <c r="B116" s="29" t="s">
        <v>79</v>
      </c>
      <c r="C116" s="12">
        <f t="shared" si="10"/>
        <v>39</v>
      </c>
      <c r="D116" s="112">
        <v>44411</v>
      </c>
      <c r="E116" s="128" t="s">
        <v>290</v>
      </c>
      <c r="F116" s="74"/>
      <c r="G116" s="229">
        <v>100</v>
      </c>
      <c r="H116" s="114"/>
      <c r="I116" s="66">
        <f t="shared" si="11"/>
        <v>8688.8900000000031</v>
      </c>
      <c r="J116" s="163" t="s">
        <v>273</v>
      </c>
      <c r="K116" s="104">
        <v>7581</v>
      </c>
      <c r="L116" s="74" t="str">
        <f>VLOOKUP($J116,'2 CODIFICATION'!A$5:B$17,2,"FAUX")</f>
        <v>ADMINIST ET FONCT</v>
      </c>
      <c r="M116" s="74" t="str">
        <f>VLOOKUP($K116,'2 CODIFICATION'!D$8:E$64,2,"FAUX")</f>
        <v>Adhésions association</v>
      </c>
      <c r="N116" s="45">
        <f t="shared" si="9"/>
        <v>758100</v>
      </c>
      <c r="O116" s="14">
        <f t="shared" si="7"/>
        <v>100</v>
      </c>
      <c r="P116" s="84">
        <f t="shared" si="8"/>
        <v>2021</v>
      </c>
      <c r="Q116" s="11" t="str">
        <f>VLOOKUP($N116,'2 CODIFICATION'!$G$5:$L$71,3,FALSE)</f>
        <v>Cotisations individuelles et associatives</v>
      </c>
      <c r="R116" s="53" t="str">
        <f>VLOOKUP($N116,'2 CODIFICATION'!$G$5:$L$71,4,FALSE)</f>
        <v>pdts</v>
      </c>
      <c r="S116" s="53">
        <f>VLOOKUP($N116,'2 CODIFICATION'!$G$5:$L$71,5,FALSE)</f>
        <v>75</v>
      </c>
      <c r="T116" s="11" t="str">
        <f>VLOOKUP($N116,'2 CODIFICATION'!$G$5:$L$71,6,FALSE)</f>
        <v>Autres produits de gestion courante</v>
      </c>
    </row>
    <row r="117" spans="1:20" ht="14.5" hidden="1" customHeight="1">
      <c r="A117" s="72" t="s">
        <v>170</v>
      </c>
      <c r="B117" s="29" t="s">
        <v>79</v>
      </c>
      <c r="C117" s="12">
        <f t="shared" si="10"/>
        <v>40</v>
      </c>
      <c r="D117" s="112">
        <v>44426</v>
      </c>
      <c r="E117" s="128" t="s">
        <v>291</v>
      </c>
      <c r="F117" s="129" t="s">
        <v>253</v>
      </c>
      <c r="G117" s="229">
        <v>290</v>
      </c>
      <c r="H117" s="114"/>
      <c r="I117" s="66">
        <f t="shared" si="11"/>
        <v>8978.8900000000031</v>
      </c>
      <c r="J117" s="163" t="s">
        <v>232</v>
      </c>
      <c r="K117" s="104">
        <v>7771</v>
      </c>
      <c r="L117" s="74" t="str">
        <f>VLOOKUP($J117,'2 CODIFICATION'!A$5:B$17,2,"FAUX")</f>
        <v>DASSOUTE TEUILLAC CONST ECOLE</v>
      </c>
      <c r="M117" s="74" t="str">
        <f>VLOOKUP($K117,'2 CODIFICATION'!D$8:E$64,2,"FAUX")</f>
        <v>Dons et participations à l"association</v>
      </c>
      <c r="N117" s="45">
        <f t="shared" si="9"/>
        <v>777100</v>
      </c>
      <c r="O117" s="14">
        <f t="shared" si="7"/>
        <v>290</v>
      </c>
      <c r="P117" s="84">
        <f t="shared" si="8"/>
        <v>2021</v>
      </c>
      <c r="Q117" s="11" t="str">
        <f>VLOOKUP($N117,'2 CODIFICATION'!$G$5:$L$71,3,FALSE)</f>
        <v>Dons et autres mises à dispositions gratuites</v>
      </c>
      <c r="R117" s="53" t="str">
        <f>VLOOKUP($N117,'2 CODIFICATION'!$G$5:$L$71,4,FALSE)</f>
        <v>pdts</v>
      </c>
      <c r="S117" s="53">
        <f>VLOOKUP($N117,'2 CODIFICATION'!$G$5:$L$71,5,FALSE)</f>
        <v>77</v>
      </c>
      <c r="T117" s="11" t="str">
        <f>VLOOKUP($N117,'2 CODIFICATION'!$G$5:$L$71,6,FALSE)</f>
        <v>Produits exceptionnels</v>
      </c>
    </row>
    <row r="118" spans="1:20" ht="14.5" hidden="1" customHeight="1">
      <c r="A118" s="72" t="s">
        <v>170</v>
      </c>
      <c r="B118" s="29" t="s">
        <v>79</v>
      </c>
      <c r="C118" s="12">
        <f t="shared" si="10"/>
        <v>41</v>
      </c>
      <c r="D118" s="120">
        <v>44434</v>
      </c>
      <c r="E118" s="128" t="s">
        <v>289</v>
      </c>
      <c r="F118" s="129" t="s">
        <v>256</v>
      </c>
      <c r="G118" s="113"/>
      <c r="H118" s="229">
        <v>709.8</v>
      </c>
      <c r="I118" s="66">
        <f t="shared" si="11"/>
        <v>8269.0900000000038</v>
      </c>
      <c r="J118" s="135" t="s">
        <v>232</v>
      </c>
      <c r="K118" s="104">
        <v>6070</v>
      </c>
      <c r="L118" s="74" t="str">
        <f>VLOOKUP($J118,'2 CODIFICATION'!A$5:B$17,2,"FAUX")</f>
        <v>DASSOUTE TEUILLAC CONST ECOLE</v>
      </c>
      <c r="M118" s="74" t="str">
        <f>VLOOKUP($K118,'2 CODIFICATION'!D$8:E$64,2,"FAUX")</f>
        <v>Achats matériaux</v>
      </c>
      <c r="N118" s="45">
        <f t="shared" si="9"/>
        <v>607000</v>
      </c>
      <c r="O118" s="14">
        <f t="shared" si="7"/>
        <v>-709.8</v>
      </c>
      <c r="P118" s="84">
        <f t="shared" si="8"/>
        <v>2021</v>
      </c>
      <c r="Q118" s="11" t="str">
        <f>VLOOKUP($N118,'2 CODIFICATION'!$G$5:$L$71,3,FALSE)</f>
        <v>Achats matériaux</v>
      </c>
      <c r="R118" s="53" t="str">
        <f>VLOOKUP($N118,'2 CODIFICATION'!$G$5:$L$71,4,FALSE)</f>
        <v>chges</v>
      </c>
      <c r="S118" s="53">
        <f>VLOOKUP($N118,'2 CODIFICATION'!$G$5:$L$71,5,FALSE)</f>
        <v>60</v>
      </c>
      <c r="T118" s="11" t="str">
        <f>VLOOKUP($N118,'2 CODIFICATION'!$G$5:$L$71,6,FALSE)</f>
        <v>Achat</v>
      </c>
    </row>
    <row r="119" spans="1:20" ht="14.5" hidden="1" customHeight="1">
      <c r="A119" s="72" t="s">
        <v>170</v>
      </c>
      <c r="B119" s="29" t="s">
        <v>79</v>
      </c>
      <c r="C119" s="12">
        <f t="shared" si="10"/>
        <v>42</v>
      </c>
      <c r="D119" s="112">
        <v>44435</v>
      </c>
      <c r="E119" s="128" t="s">
        <v>291</v>
      </c>
      <c r="F119" s="129" t="s">
        <v>253</v>
      </c>
      <c r="G119" s="229">
        <v>500</v>
      </c>
      <c r="H119" s="114"/>
      <c r="I119" s="66">
        <f t="shared" si="11"/>
        <v>8769.0900000000038</v>
      </c>
      <c r="J119" s="163" t="s">
        <v>232</v>
      </c>
      <c r="K119" s="104">
        <v>7771</v>
      </c>
      <c r="L119" s="74" t="str">
        <f>VLOOKUP($J119,'2 CODIFICATION'!A$5:B$17,2,"FAUX")</f>
        <v>DASSOUTE TEUILLAC CONST ECOLE</v>
      </c>
      <c r="M119" s="74" t="str">
        <f>VLOOKUP($K119,'2 CODIFICATION'!D$8:E$64,2,"FAUX")</f>
        <v>Dons et participations à l"association</v>
      </c>
      <c r="N119" s="45">
        <f t="shared" si="9"/>
        <v>777100</v>
      </c>
      <c r="O119" s="14">
        <f t="shared" si="7"/>
        <v>500</v>
      </c>
      <c r="P119" s="84">
        <f t="shared" si="8"/>
        <v>2021</v>
      </c>
      <c r="Q119" s="11" t="str">
        <f>VLOOKUP($N119,'2 CODIFICATION'!$G$5:$L$71,3,FALSE)</f>
        <v>Dons et autres mises à dispositions gratuites</v>
      </c>
      <c r="R119" s="53" t="str">
        <f>VLOOKUP($N119,'2 CODIFICATION'!$G$5:$L$71,4,FALSE)</f>
        <v>pdts</v>
      </c>
      <c r="S119" s="53">
        <f>VLOOKUP($N119,'2 CODIFICATION'!$G$5:$L$71,5,FALSE)</f>
        <v>77</v>
      </c>
      <c r="T119" s="11" t="str">
        <f>VLOOKUP($N119,'2 CODIFICATION'!$G$5:$L$71,6,FALSE)</f>
        <v>Produits exceptionnels</v>
      </c>
    </row>
    <row r="120" spans="1:20" ht="14.5" hidden="1" customHeight="1">
      <c r="A120" s="72" t="s">
        <v>170</v>
      </c>
      <c r="B120" s="29" t="s">
        <v>79</v>
      </c>
      <c r="C120" s="12">
        <f t="shared" si="10"/>
        <v>43</v>
      </c>
      <c r="D120" s="112">
        <v>44435</v>
      </c>
      <c r="E120" s="128" t="s">
        <v>292</v>
      </c>
      <c r="F120" s="129" t="s">
        <v>258</v>
      </c>
      <c r="G120" s="113"/>
      <c r="H120" s="229">
        <v>6000</v>
      </c>
      <c r="I120" s="66">
        <f t="shared" si="11"/>
        <v>2769.0900000000038</v>
      </c>
      <c r="J120" s="163" t="s">
        <v>198</v>
      </c>
      <c r="K120" s="104">
        <v>6110</v>
      </c>
      <c r="L120" s="74" t="str">
        <f>VLOOKUP($J120,'2 CODIFICATION'!A$5:B$17,2,"FAUX")</f>
        <v>HYGIENE MENSTRUELLE</v>
      </c>
      <c r="M120" s="74" t="str">
        <f>VLOOKUP($K120,'2 CODIFICATION'!D$8:E$64,2,"FAUX")</f>
        <v>Sous traitance projet</v>
      </c>
      <c r="N120" s="45">
        <f t="shared" si="9"/>
        <v>611000</v>
      </c>
      <c r="O120" s="14">
        <f t="shared" si="7"/>
        <v>-6000</v>
      </c>
      <c r="P120" s="84">
        <f t="shared" si="8"/>
        <v>2021</v>
      </c>
      <c r="Q120" s="11" t="str">
        <f>VLOOKUP($N120,'2 CODIFICATION'!$G$5:$L$71,3,FALSE)</f>
        <v xml:space="preserve">Sous-traitance générale </v>
      </c>
      <c r="R120" s="53" t="str">
        <f>VLOOKUP($N120,'2 CODIFICATION'!$G$5:$L$71,4,FALSE)</f>
        <v>chges</v>
      </c>
      <c r="S120" s="53">
        <f>VLOOKUP($N120,'2 CODIFICATION'!$G$5:$L$71,5,FALSE)</f>
        <v>61</v>
      </c>
      <c r="T120" s="11" t="str">
        <f>VLOOKUP($N120,'2 CODIFICATION'!$G$5:$L$71,6,FALSE)</f>
        <v>Services extérieurs</v>
      </c>
    </row>
    <row r="121" spans="1:20" ht="14.5" hidden="1" customHeight="1">
      <c r="A121" s="72" t="s">
        <v>170</v>
      </c>
      <c r="B121" s="29" t="s">
        <v>79</v>
      </c>
      <c r="C121" s="12">
        <f t="shared" si="10"/>
        <v>44</v>
      </c>
      <c r="D121" s="112">
        <v>44435</v>
      </c>
      <c r="E121" s="128" t="s">
        <v>227</v>
      </c>
      <c r="F121" s="129" t="s">
        <v>257</v>
      </c>
      <c r="G121" s="113"/>
      <c r="H121" s="229">
        <v>18.2</v>
      </c>
      <c r="I121" s="66">
        <f t="shared" si="11"/>
        <v>2750.890000000004</v>
      </c>
      <c r="J121" s="163" t="s">
        <v>198</v>
      </c>
      <c r="K121" s="104">
        <v>6270</v>
      </c>
      <c r="L121" s="74" t="str">
        <f>VLOOKUP($J121,'2 CODIFICATION'!A$5:B$17,2,"FAUX")</f>
        <v>HYGIENE MENSTRUELLE</v>
      </c>
      <c r="M121" s="74" t="str">
        <f>VLOOKUP($K121,'2 CODIFICATION'!D$8:E$64,2,"FAUX")</f>
        <v>Frais de banque</v>
      </c>
      <c r="N121" s="45">
        <f t="shared" si="9"/>
        <v>627000</v>
      </c>
      <c r="O121" s="14">
        <f t="shared" si="7"/>
        <v>-18.2</v>
      </c>
      <c r="P121" s="84">
        <f t="shared" si="8"/>
        <v>2021</v>
      </c>
      <c r="Q121" s="11" t="str">
        <f>VLOOKUP($N121,'2 CODIFICATION'!$G$5:$L$71,3,FALSE)</f>
        <v>Frais bancaires</v>
      </c>
      <c r="R121" s="53" t="str">
        <f>VLOOKUP($N121,'2 CODIFICATION'!$G$5:$L$71,4,FALSE)</f>
        <v>chges</v>
      </c>
      <c r="S121" s="53">
        <f>VLOOKUP($N121,'2 CODIFICATION'!$G$5:$L$71,5,FALSE)</f>
        <v>62</v>
      </c>
      <c r="T121" s="11" t="str">
        <f>VLOOKUP($N121,'2 CODIFICATION'!$G$5:$L$71,6,FALSE)</f>
        <v>Autres services extérieurs</v>
      </c>
    </row>
    <row r="122" spans="1:20" ht="14.5" hidden="1" customHeight="1">
      <c r="A122" s="72" t="s">
        <v>170</v>
      </c>
      <c r="B122" s="29" t="s">
        <v>79</v>
      </c>
      <c r="C122" s="12">
        <f t="shared" si="10"/>
        <v>45</v>
      </c>
      <c r="D122" s="112">
        <v>44446</v>
      </c>
      <c r="E122" s="128" t="s">
        <v>291</v>
      </c>
      <c r="F122" s="129" t="s">
        <v>253</v>
      </c>
      <c r="G122" s="229">
        <v>1200</v>
      </c>
      <c r="H122" s="114"/>
      <c r="I122" s="66">
        <f t="shared" si="11"/>
        <v>3950.890000000004</v>
      </c>
      <c r="J122" s="163" t="s">
        <v>232</v>
      </c>
      <c r="K122" s="104">
        <v>7771</v>
      </c>
      <c r="L122" s="74" t="str">
        <f>VLOOKUP($J122,'2 CODIFICATION'!A$5:B$17,2,"FAUX")</f>
        <v>DASSOUTE TEUILLAC CONST ECOLE</v>
      </c>
      <c r="M122" s="74" t="str">
        <f>VLOOKUP($K122,'2 CODIFICATION'!D$8:E$64,2,"FAUX")</f>
        <v>Dons et participations à l"association</v>
      </c>
      <c r="N122" s="45">
        <f t="shared" si="9"/>
        <v>777100</v>
      </c>
      <c r="O122" s="14">
        <f t="shared" si="7"/>
        <v>1200</v>
      </c>
      <c r="P122" s="84">
        <f t="shared" si="8"/>
        <v>2021</v>
      </c>
      <c r="Q122" s="11" t="str">
        <f>VLOOKUP($N122,'2 CODIFICATION'!$G$5:$L$71,3,FALSE)</f>
        <v>Dons et autres mises à dispositions gratuites</v>
      </c>
      <c r="R122" s="53" t="str">
        <f>VLOOKUP($N122,'2 CODIFICATION'!$G$5:$L$71,4,FALSE)</f>
        <v>pdts</v>
      </c>
      <c r="S122" s="53">
        <f>VLOOKUP($N122,'2 CODIFICATION'!$G$5:$L$71,5,FALSE)</f>
        <v>77</v>
      </c>
      <c r="T122" s="11" t="str">
        <f>VLOOKUP($N122,'2 CODIFICATION'!$G$5:$L$71,6,FALSE)</f>
        <v>Produits exceptionnels</v>
      </c>
    </row>
    <row r="123" spans="1:20" ht="14.5" hidden="1" customHeight="1">
      <c r="A123" s="72" t="s">
        <v>170</v>
      </c>
      <c r="B123" s="29" t="s">
        <v>79</v>
      </c>
      <c r="C123" s="12">
        <f t="shared" si="10"/>
        <v>46</v>
      </c>
      <c r="D123" s="112">
        <v>44446</v>
      </c>
      <c r="E123" s="128" t="s">
        <v>293</v>
      </c>
      <c r="F123" s="129" t="s">
        <v>256</v>
      </c>
      <c r="G123" s="113"/>
      <c r="H123" s="229">
        <v>1065.7</v>
      </c>
      <c r="I123" s="66">
        <f t="shared" si="11"/>
        <v>2885.1900000000041</v>
      </c>
      <c r="J123" s="135" t="s">
        <v>232</v>
      </c>
      <c r="K123" s="104">
        <v>6070</v>
      </c>
      <c r="L123" s="74" t="str">
        <f>VLOOKUP($J123,'2 CODIFICATION'!A$5:B$17,2,"FAUX")</f>
        <v>DASSOUTE TEUILLAC CONST ECOLE</v>
      </c>
      <c r="M123" s="74" t="str">
        <f>VLOOKUP($K123,'2 CODIFICATION'!D$8:E$64,2,"FAUX")</f>
        <v>Achats matériaux</v>
      </c>
      <c r="N123" s="45">
        <f t="shared" si="9"/>
        <v>607000</v>
      </c>
      <c r="O123" s="14">
        <f t="shared" si="7"/>
        <v>-1065.7</v>
      </c>
      <c r="P123" s="84">
        <f t="shared" si="8"/>
        <v>2021</v>
      </c>
      <c r="Q123" s="11" t="str">
        <f>VLOOKUP($N123,'2 CODIFICATION'!$G$5:$L$71,3,FALSE)</f>
        <v>Achats matériaux</v>
      </c>
      <c r="R123" s="53" t="str">
        <f>VLOOKUP($N123,'2 CODIFICATION'!$G$5:$L$71,4,FALSE)</f>
        <v>chges</v>
      </c>
      <c r="S123" s="53">
        <f>VLOOKUP($N123,'2 CODIFICATION'!$G$5:$L$71,5,FALSE)</f>
        <v>60</v>
      </c>
      <c r="T123" s="11" t="str">
        <f>VLOOKUP($N123,'2 CODIFICATION'!$G$5:$L$71,6,FALSE)</f>
        <v>Achat</v>
      </c>
    </row>
    <row r="124" spans="1:20" ht="14.5" hidden="1" customHeight="1">
      <c r="A124" s="72" t="s">
        <v>170</v>
      </c>
      <c r="B124" s="29" t="s">
        <v>79</v>
      </c>
      <c r="C124" s="12">
        <f t="shared" si="10"/>
        <v>47</v>
      </c>
      <c r="D124" s="112">
        <v>44453</v>
      </c>
      <c r="E124" s="128" t="s">
        <v>294</v>
      </c>
      <c r="F124" s="129" t="s">
        <v>260</v>
      </c>
      <c r="G124" s="113"/>
      <c r="H124" s="229">
        <v>15.4</v>
      </c>
      <c r="I124" s="66">
        <f t="shared" si="11"/>
        <v>2869.7900000000041</v>
      </c>
      <c r="J124" s="163" t="s">
        <v>273</v>
      </c>
      <c r="K124" s="104">
        <v>6064</v>
      </c>
      <c r="L124" s="74" t="str">
        <f>VLOOKUP($J124,'2 CODIFICATION'!A$5:B$17,2,"FAUX")</f>
        <v>ADMINIST ET FONCT</v>
      </c>
      <c r="M124" s="74" t="str">
        <f>VLOOKUP($K124,'2 CODIFICATION'!D$8:E$64,2,"FAUX")</f>
        <v>Frais de fonctionnement et fourniture</v>
      </c>
      <c r="N124" s="45">
        <f t="shared" si="9"/>
        <v>606400</v>
      </c>
      <c r="O124" s="14">
        <f t="shared" si="7"/>
        <v>-15.4</v>
      </c>
      <c r="P124" s="84">
        <f t="shared" si="8"/>
        <v>2021</v>
      </c>
      <c r="Q124" s="11" t="str">
        <f>VLOOKUP($N124,'2 CODIFICATION'!$G$5:$L$71,3,FALSE)</f>
        <v>Fournitures administratives</v>
      </c>
      <c r="R124" s="53" t="str">
        <f>VLOOKUP($N124,'2 CODIFICATION'!$G$5:$L$71,4,FALSE)</f>
        <v>chges</v>
      </c>
      <c r="S124" s="53">
        <f>VLOOKUP($N124,'2 CODIFICATION'!$G$5:$L$71,5,FALSE)</f>
        <v>60</v>
      </c>
      <c r="T124" s="11" t="str">
        <f>VLOOKUP($N124,'2 CODIFICATION'!$G$5:$L$71,6,FALSE)</f>
        <v>Achat</v>
      </c>
    </row>
    <row r="125" spans="1:20" ht="14.5" hidden="1" customHeight="1">
      <c r="A125" s="72" t="s">
        <v>170</v>
      </c>
      <c r="B125" s="29" t="s">
        <v>79</v>
      </c>
      <c r="C125" s="12">
        <f t="shared" si="10"/>
        <v>48</v>
      </c>
      <c r="D125" s="112">
        <v>44453</v>
      </c>
      <c r="E125" s="128" t="s">
        <v>295</v>
      </c>
      <c r="F125" s="129" t="s">
        <v>263</v>
      </c>
      <c r="G125" s="113"/>
      <c r="H125" s="229">
        <v>391.24</v>
      </c>
      <c r="I125" s="66">
        <f t="shared" si="11"/>
        <v>2478.5500000000038</v>
      </c>
      <c r="J125" s="163" t="s">
        <v>198</v>
      </c>
      <c r="K125" s="104">
        <v>6262</v>
      </c>
      <c r="L125" s="74" t="str">
        <f>VLOOKUP($J125,'2 CODIFICATION'!A$5:B$17,2,"FAUX")</f>
        <v>HYGIENE MENSTRUELLE</v>
      </c>
      <c r="M125" s="74" t="str">
        <f>VLOOKUP($K125,'2 CODIFICATION'!D$8:E$64,2,"FAUX")</f>
        <v>Téléphone</v>
      </c>
      <c r="N125" s="45">
        <f t="shared" si="9"/>
        <v>626200</v>
      </c>
      <c r="O125" s="14">
        <f t="shared" si="7"/>
        <v>-391.24</v>
      </c>
      <c r="P125" s="84">
        <f t="shared" si="8"/>
        <v>2021</v>
      </c>
      <c r="Q125" s="11" t="str">
        <f>VLOOKUP($N125,'2 CODIFICATION'!$G$5:$L$71,3,FALSE)</f>
        <v>Frais de téléphone, fax et portables</v>
      </c>
      <c r="R125" s="53" t="str">
        <f>VLOOKUP($N125,'2 CODIFICATION'!$G$5:$L$71,4,FALSE)</f>
        <v>chges</v>
      </c>
      <c r="S125" s="53">
        <f>VLOOKUP($N125,'2 CODIFICATION'!$G$5:$L$71,5,FALSE)</f>
        <v>62</v>
      </c>
      <c r="T125" s="11" t="str">
        <f>VLOOKUP($N125,'2 CODIFICATION'!$G$5:$L$71,6,FALSE)</f>
        <v>Autres services extérieurs</v>
      </c>
    </row>
    <row r="126" spans="1:20" ht="14.5" hidden="1" customHeight="1">
      <c r="A126" s="72" t="s">
        <v>170</v>
      </c>
      <c r="B126" s="29" t="s">
        <v>79</v>
      </c>
      <c r="C126" s="12">
        <f t="shared" si="10"/>
        <v>49</v>
      </c>
      <c r="D126" s="112">
        <v>44467</v>
      </c>
      <c r="E126" s="128" t="s">
        <v>296</v>
      </c>
      <c r="F126" s="129" t="s">
        <v>261</v>
      </c>
      <c r="G126" s="113"/>
      <c r="H126" s="229">
        <v>109.79</v>
      </c>
      <c r="I126" s="66">
        <f t="shared" si="11"/>
        <v>2368.7600000000039</v>
      </c>
      <c r="J126" s="163" t="s">
        <v>273</v>
      </c>
      <c r="K126" s="104">
        <v>6064</v>
      </c>
      <c r="L126" s="74" t="str">
        <f>VLOOKUP($J126,'2 CODIFICATION'!A$5:B$17,2,"FAUX")</f>
        <v>ADMINIST ET FONCT</v>
      </c>
      <c r="M126" s="74" t="str">
        <f>VLOOKUP($K126,'2 CODIFICATION'!D$8:E$64,2,"FAUX")</f>
        <v>Frais de fonctionnement et fourniture</v>
      </c>
      <c r="N126" s="45">
        <f t="shared" si="9"/>
        <v>606400</v>
      </c>
      <c r="O126" s="14">
        <f t="shared" si="7"/>
        <v>-109.79</v>
      </c>
      <c r="P126" s="84">
        <f t="shared" si="8"/>
        <v>2021</v>
      </c>
      <c r="Q126" s="11" t="str">
        <f>VLOOKUP($N126,'2 CODIFICATION'!$G$5:$L$71,3,FALSE)</f>
        <v>Fournitures administratives</v>
      </c>
      <c r="R126" s="53" t="str">
        <f>VLOOKUP($N126,'2 CODIFICATION'!$G$5:$L$71,4,FALSE)</f>
        <v>chges</v>
      </c>
      <c r="S126" s="53">
        <f>VLOOKUP($N126,'2 CODIFICATION'!$G$5:$L$71,5,FALSE)</f>
        <v>60</v>
      </c>
      <c r="T126" s="11" t="str">
        <f>VLOOKUP($N126,'2 CODIFICATION'!$G$5:$L$71,6,FALSE)</f>
        <v>Achat</v>
      </c>
    </row>
    <row r="127" spans="1:20" ht="14.5" hidden="1" customHeight="1">
      <c r="A127" s="72" t="s">
        <v>170</v>
      </c>
      <c r="B127" s="29" t="s">
        <v>79</v>
      </c>
      <c r="C127" s="12">
        <f t="shared" si="10"/>
        <v>50</v>
      </c>
      <c r="D127" s="112">
        <v>44469</v>
      </c>
      <c r="E127" s="128" t="s">
        <v>291</v>
      </c>
      <c r="F127" s="129" t="s">
        <v>253</v>
      </c>
      <c r="G127" s="229">
        <v>250</v>
      </c>
      <c r="H127" s="114"/>
      <c r="I127" s="66">
        <f t="shared" si="11"/>
        <v>2618.7600000000039</v>
      </c>
      <c r="J127" s="163" t="s">
        <v>232</v>
      </c>
      <c r="K127" s="104">
        <v>7771</v>
      </c>
      <c r="L127" s="74" t="str">
        <f>VLOOKUP($J127,'2 CODIFICATION'!A$5:B$17,2,"FAUX")</f>
        <v>DASSOUTE TEUILLAC CONST ECOLE</v>
      </c>
      <c r="M127" s="74" t="str">
        <f>VLOOKUP($K127,'2 CODIFICATION'!D$8:E$64,2,"FAUX")</f>
        <v>Dons et participations à l"association</v>
      </c>
      <c r="N127" s="45">
        <f t="shared" si="9"/>
        <v>777100</v>
      </c>
      <c r="O127" s="14">
        <f t="shared" si="7"/>
        <v>250</v>
      </c>
      <c r="P127" s="84">
        <f t="shared" si="8"/>
        <v>2021</v>
      </c>
      <c r="Q127" s="11" t="str">
        <f>VLOOKUP($N127,'2 CODIFICATION'!$G$5:$L$71,3,FALSE)</f>
        <v>Dons et autres mises à dispositions gratuites</v>
      </c>
      <c r="R127" s="53" t="str">
        <f>VLOOKUP($N127,'2 CODIFICATION'!$G$5:$L$71,4,FALSE)</f>
        <v>pdts</v>
      </c>
      <c r="S127" s="53">
        <f>VLOOKUP($N127,'2 CODIFICATION'!$G$5:$L$71,5,FALSE)</f>
        <v>77</v>
      </c>
      <c r="T127" s="11" t="str">
        <f>VLOOKUP($N127,'2 CODIFICATION'!$G$5:$L$71,6,FALSE)</f>
        <v>Produits exceptionnels</v>
      </c>
    </row>
    <row r="128" spans="1:20" ht="14.5" hidden="1" customHeight="1">
      <c r="A128" s="72" t="s">
        <v>170</v>
      </c>
      <c r="B128" s="29" t="s">
        <v>79</v>
      </c>
      <c r="C128" s="12">
        <f t="shared" si="10"/>
        <v>51</v>
      </c>
      <c r="D128" s="112">
        <v>44470</v>
      </c>
      <c r="E128" s="128" t="s">
        <v>297</v>
      </c>
      <c r="F128" s="129" t="s">
        <v>262</v>
      </c>
      <c r="G128" s="113"/>
      <c r="H128" s="229">
        <v>631.32000000000005</v>
      </c>
      <c r="I128" s="66">
        <f t="shared" si="11"/>
        <v>1987.4400000000037</v>
      </c>
      <c r="J128" s="163" t="s">
        <v>198</v>
      </c>
      <c r="K128" s="104">
        <v>6256</v>
      </c>
      <c r="L128" s="74" t="str">
        <f>VLOOKUP($J128,'2 CODIFICATION'!A$5:B$17,2,"FAUX")</f>
        <v>HYGIENE MENSTRUELLE</v>
      </c>
      <c r="M128" s="74" t="str">
        <f>VLOOKUP($K128,'2 CODIFICATION'!D$8:E$64,2,"FAUX")</f>
        <v>Frais de mission</v>
      </c>
      <c r="N128" s="45">
        <f>+K128*100</f>
        <v>625600</v>
      </c>
      <c r="O128" s="14">
        <f t="shared" si="7"/>
        <v>-631.32000000000005</v>
      </c>
      <c r="P128" s="84">
        <f t="shared" si="8"/>
        <v>2021</v>
      </c>
      <c r="Q128" s="11" t="str">
        <f>VLOOKUP($N128,'2 CODIFICATION'!$G$5:$L$71,3,FALSE)</f>
        <v>Missions et manifestations</v>
      </c>
      <c r="R128" s="53" t="str">
        <f>VLOOKUP($N128,'2 CODIFICATION'!$G$5:$L$71,4,FALSE)</f>
        <v>chges</v>
      </c>
      <c r="S128" s="53">
        <f>VLOOKUP($N128,'2 CODIFICATION'!$G$5:$L$71,5,FALSE)</f>
        <v>62</v>
      </c>
      <c r="T128" s="11" t="str">
        <f>VLOOKUP($N128,'2 CODIFICATION'!$G$5:$L$71,6,FALSE)</f>
        <v>Autres services extérieurs</v>
      </c>
    </row>
    <row r="129" spans="1:20" s="61" customFormat="1" ht="14.5" hidden="1" customHeight="1">
      <c r="A129" s="61" t="s">
        <v>170</v>
      </c>
      <c r="B129" s="61" t="s">
        <v>82</v>
      </c>
      <c r="C129" s="152">
        <f t="shared" si="10"/>
        <v>52</v>
      </c>
      <c r="D129" s="153">
        <v>44469</v>
      </c>
      <c r="E129" s="154" t="s">
        <v>305</v>
      </c>
      <c r="F129" s="155" t="s">
        <v>253</v>
      </c>
      <c r="G129" s="156">
        <v>1000</v>
      </c>
      <c r="H129" s="157"/>
      <c r="I129" s="66">
        <f t="shared" si="11"/>
        <v>2987.4400000000037</v>
      </c>
      <c r="J129" s="162" t="s">
        <v>307</v>
      </c>
      <c r="K129" s="158">
        <v>7771</v>
      </c>
      <c r="L129" s="74" t="str">
        <f>VLOOKUP($J129,'2 CODIFICATION'!A$5:B$17,2,"FAUX")</f>
        <v>DASSOUTE TEUILLAC FOURN SCOLAIRES</v>
      </c>
      <c r="M129" s="20" t="str">
        <f>VLOOKUP($K129,'2 CODIFICATION'!D$8:E$64,2,"FAUX")</f>
        <v>Dons et participations à l"association</v>
      </c>
      <c r="N129" s="28">
        <f t="shared" si="9"/>
        <v>777100</v>
      </c>
      <c r="O129" s="14">
        <f t="shared" si="7"/>
        <v>1000</v>
      </c>
      <c r="P129" s="84">
        <f t="shared" si="8"/>
        <v>2021</v>
      </c>
      <c r="Q129" s="11" t="str">
        <f>VLOOKUP($N129,'2 CODIFICATION'!$G$5:$L$71,3,FALSE)</f>
        <v>Dons et autres mises à dispositions gratuites</v>
      </c>
      <c r="R129" s="53" t="str">
        <f>VLOOKUP($N129,'2 CODIFICATION'!$G$5:$L$71,4,FALSE)</f>
        <v>pdts</v>
      </c>
      <c r="S129" s="53">
        <f>VLOOKUP($N129,'2 CODIFICATION'!$G$5:$L$71,5,FALSE)</f>
        <v>77</v>
      </c>
      <c r="T129" s="11" t="str">
        <f>VLOOKUP($N129,'2 CODIFICATION'!$G$5:$L$71,6,FALSE)</f>
        <v>Produits exceptionnels</v>
      </c>
    </row>
    <row r="130" spans="1:20" s="61" customFormat="1" ht="14.5" hidden="1" customHeight="1">
      <c r="A130" s="61" t="s">
        <v>170</v>
      </c>
      <c r="B130" s="61" t="s">
        <v>82</v>
      </c>
      <c r="C130" s="152">
        <f t="shared" si="10"/>
        <v>53</v>
      </c>
      <c r="D130" s="153">
        <v>44469</v>
      </c>
      <c r="E130" s="154" t="s">
        <v>305</v>
      </c>
      <c r="F130" s="155" t="s">
        <v>253</v>
      </c>
      <c r="G130" s="156">
        <v>300</v>
      </c>
      <c r="H130" s="157"/>
      <c r="I130" s="66">
        <f t="shared" si="11"/>
        <v>3287.4400000000037</v>
      </c>
      <c r="J130" s="162" t="s">
        <v>234</v>
      </c>
      <c r="K130" s="158">
        <v>7771</v>
      </c>
      <c r="L130" s="74" t="str">
        <f>VLOOKUP($J130,'2 CODIFICATION'!A$5:B$17,2,"FAUX")</f>
        <v>DASSOUTE TEUILLAC COLLEGE</v>
      </c>
      <c r="M130" s="20" t="str">
        <f>VLOOKUP($K130,'2 CODIFICATION'!D$8:E$64,2,"FAUX")</f>
        <v>Dons et participations à l"association</v>
      </c>
      <c r="N130" s="28">
        <f t="shared" si="9"/>
        <v>777100</v>
      </c>
      <c r="O130" s="14">
        <f t="shared" si="7"/>
        <v>300</v>
      </c>
      <c r="P130" s="84">
        <f t="shared" si="8"/>
        <v>2021</v>
      </c>
      <c r="Q130" s="11" t="str">
        <f>VLOOKUP($N130,'2 CODIFICATION'!$G$5:$L$71,3,FALSE)</f>
        <v>Dons et autres mises à dispositions gratuites</v>
      </c>
      <c r="R130" s="53" t="str">
        <f>VLOOKUP($N130,'2 CODIFICATION'!$G$5:$L$71,4,FALSE)</f>
        <v>pdts</v>
      </c>
      <c r="S130" s="53">
        <f>VLOOKUP($N130,'2 CODIFICATION'!$G$5:$L$71,5,FALSE)</f>
        <v>77</v>
      </c>
      <c r="T130" s="11" t="str">
        <f>VLOOKUP($N130,'2 CODIFICATION'!$G$5:$L$71,6,FALSE)</f>
        <v>Produits exceptionnels</v>
      </c>
    </row>
    <row r="131" spans="1:20" s="61" customFormat="1" ht="14.5" hidden="1" customHeight="1">
      <c r="A131" s="61" t="s">
        <v>170</v>
      </c>
      <c r="B131" s="61" t="s">
        <v>82</v>
      </c>
      <c r="C131" s="152">
        <f t="shared" si="10"/>
        <v>54</v>
      </c>
      <c r="D131" s="153">
        <v>44469</v>
      </c>
      <c r="E131" s="154" t="s">
        <v>305</v>
      </c>
      <c r="F131" s="155" t="s">
        <v>253</v>
      </c>
      <c r="G131" s="156">
        <v>800</v>
      </c>
      <c r="H131" s="157"/>
      <c r="I131" s="66">
        <f t="shared" si="11"/>
        <v>4087.4400000000037</v>
      </c>
      <c r="J131" s="162" t="s">
        <v>308</v>
      </c>
      <c r="K131" s="158">
        <v>7771</v>
      </c>
      <c r="L131" s="74" t="str">
        <f>VLOOKUP($J131,'2 CODIFICATION'!A$5:B$17,2,"FAUX")</f>
        <v>DASSOUTE TEUILLAC MARAICHAGE</v>
      </c>
      <c r="M131" s="20" t="str">
        <f>VLOOKUP($K131,'2 CODIFICATION'!D$8:E$64,2,"FAUX")</f>
        <v>Dons et participations à l"association</v>
      </c>
      <c r="N131" s="28">
        <f t="shared" si="9"/>
        <v>777100</v>
      </c>
      <c r="O131" s="14">
        <f t="shared" si="7"/>
        <v>800</v>
      </c>
      <c r="P131" s="84">
        <f t="shared" si="8"/>
        <v>2021</v>
      </c>
      <c r="Q131" s="11" t="str">
        <f>VLOOKUP($N131,'2 CODIFICATION'!$G$5:$L$71,3,FALSE)</f>
        <v>Dons et autres mises à dispositions gratuites</v>
      </c>
      <c r="R131" s="53" t="str">
        <f>VLOOKUP($N131,'2 CODIFICATION'!$G$5:$L$71,4,FALSE)</f>
        <v>pdts</v>
      </c>
      <c r="S131" s="53">
        <f>VLOOKUP($N131,'2 CODIFICATION'!$G$5:$L$71,5,FALSE)</f>
        <v>77</v>
      </c>
      <c r="T131" s="11" t="str">
        <f>VLOOKUP($N131,'2 CODIFICATION'!$G$5:$L$71,6,FALSE)</f>
        <v>Produits exceptionnels</v>
      </c>
    </row>
    <row r="132" spans="1:20" s="61" customFormat="1" ht="14.5" hidden="1" customHeight="1">
      <c r="A132" s="61" t="s">
        <v>170</v>
      </c>
      <c r="B132" s="61" t="s">
        <v>82</v>
      </c>
      <c r="C132" s="152">
        <f t="shared" si="10"/>
        <v>55</v>
      </c>
      <c r="D132" s="153">
        <v>44469</v>
      </c>
      <c r="E132" s="154" t="s">
        <v>305</v>
      </c>
      <c r="F132" s="155" t="s">
        <v>253</v>
      </c>
      <c r="G132" s="156">
        <v>-2100</v>
      </c>
      <c r="H132" s="157"/>
      <c r="I132" s="66">
        <f t="shared" si="11"/>
        <v>1987.4400000000037</v>
      </c>
      <c r="J132" s="162" t="s">
        <v>232</v>
      </c>
      <c r="K132" s="158">
        <v>7771</v>
      </c>
      <c r="L132" s="74" t="str">
        <f>VLOOKUP($J132,'2 CODIFICATION'!A$5:B$17,2,"FAUX")</f>
        <v>DASSOUTE TEUILLAC CONST ECOLE</v>
      </c>
      <c r="M132" s="20" t="str">
        <f>VLOOKUP($K132,'2 CODIFICATION'!D$8:E$64,2,"FAUX")</f>
        <v>Dons et participations à l"association</v>
      </c>
      <c r="N132" s="28">
        <f t="shared" si="9"/>
        <v>777100</v>
      </c>
      <c r="O132" s="14">
        <f t="shared" si="7"/>
        <v>-2100</v>
      </c>
      <c r="P132" s="84">
        <f t="shared" si="8"/>
        <v>2021</v>
      </c>
      <c r="Q132" s="11" t="str">
        <f>VLOOKUP($N132,'2 CODIFICATION'!$G$5:$L$71,3,FALSE)</f>
        <v>Dons et autres mises à dispositions gratuites</v>
      </c>
      <c r="R132" s="53" t="str">
        <f>VLOOKUP($N132,'2 CODIFICATION'!$G$5:$L$71,4,FALSE)</f>
        <v>pdts</v>
      </c>
      <c r="S132" s="53">
        <f>VLOOKUP($N132,'2 CODIFICATION'!$G$5:$L$71,5,FALSE)</f>
        <v>77</v>
      </c>
      <c r="T132" s="11" t="str">
        <f>VLOOKUP($N132,'2 CODIFICATION'!$G$5:$L$71,6,FALSE)</f>
        <v>Produits exceptionnels</v>
      </c>
    </row>
    <row r="133" spans="1:20" s="61" customFormat="1" ht="14.5" hidden="1" customHeight="1">
      <c r="A133" s="61" t="s">
        <v>170</v>
      </c>
      <c r="B133" s="61" t="s">
        <v>82</v>
      </c>
      <c r="C133" s="152">
        <f t="shared" si="10"/>
        <v>56</v>
      </c>
      <c r="D133" s="153">
        <v>44469</v>
      </c>
      <c r="E133" s="154" t="s">
        <v>309</v>
      </c>
      <c r="F133" s="152" t="s">
        <v>257</v>
      </c>
      <c r="G133" s="156"/>
      <c r="H133" s="157">
        <v>6.6</v>
      </c>
      <c r="I133" s="66">
        <f t="shared" si="11"/>
        <v>1980.8400000000038</v>
      </c>
      <c r="J133" s="162" t="s">
        <v>307</v>
      </c>
      <c r="K133" s="158">
        <v>6270</v>
      </c>
      <c r="L133" s="74" t="str">
        <f>VLOOKUP($J133,'2 CODIFICATION'!A$5:B$17,2,"FAUX")</f>
        <v>DASSOUTE TEUILLAC FOURN SCOLAIRES</v>
      </c>
      <c r="M133" s="20" t="str">
        <f>VLOOKUP($K133,'2 CODIFICATION'!D$8:E$64,2,"FAUX")</f>
        <v>Frais de banque</v>
      </c>
      <c r="N133" s="28">
        <f t="shared" si="9"/>
        <v>627000</v>
      </c>
      <c r="O133" s="14">
        <f t="shared" si="7"/>
        <v>-6.6</v>
      </c>
      <c r="P133" s="84">
        <f t="shared" si="8"/>
        <v>2021</v>
      </c>
      <c r="Q133" s="11" t="str">
        <f>VLOOKUP($N133,'2 CODIFICATION'!$G$5:$L$71,3,FALSE)</f>
        <v>Frais bancaires</v>
      </c>
      <c r="R133" s="53" t="str">
        <f>VLOOKUP($N133,'2 CODIFICATION'!$G$5:$L$71,4,FALSE)</f>
        <v>chges</v>
      </c>
      <c r="S133" s="53">
        <f>VLOOKUP($N133,'2 CODIFICATION'!$G$5:$L$71,5,FALSE)</f>
        <v>62</v>
      </c>
      <c r="T133" s="11" t="str">
        <f>VLOOKUP($N133,'2 CODIFICATION'!$G$5:$L$71,6,FALSE)</f>
        <v>Autres services extérieurs</v>
      </c>
    </row>
    <row r="134" spans="1:20" s="61" customFormat="1" ht="14.5" hidden="1" customHeight="1">
      <c r="A134" s="61" t="s">
        <v>170</v>
      </c>
      <c r="B134" s="61" t="s">
        <v>82</v>
      </c>
      <c r="C134" s="152">
        <f t="shared" si="10"/>
        <v>57</v>
      </c>
      <c r="D134" s="153">
        <v>44469</v>
      </c>
      <c r="E134" s="154" t="s">
        <v>309</v>
      </c>
      <c r="F134" s="152" t="s">
        <v>257</v>
      </c>
      <c r="G134" s="156"/>
      <c r="H134" s="157">
        <v>5.8</v>
      </c>
      <c r="I134" s="66">
        <f t="shared" si="11"/>
        <v>1975.0400000000038</v>
      </c>
      <c r="J134" s="162" t="s">
        <v>234</v>
      </c>
      <c r="K134" s="158">
        <v>6270</v>
      </c>
      <c r="L134" s="74" t="str">
        <f>VLOOKUP($J134,'2 CODIFICATION'!A$5:B$17,2,"FAUX")</f>
        <v>DASSOUTE TEUILLAC COLLEGE</v>
      </c>
      <c r="M134" s="20" t="str">
        <f>VLOOKUP($K134,'2 CODIFICATION'!D$8:E$64,2,"FAUX")</f>
        <v>Frais de banque</v>
      </c>
      <c r="N134" s="28">
        <f t="shared" si="9"/>
        <v>627000</v>
      </c>
      <c r="O134" s="14">
        <f t="shared" si="7"/>
        <v>-5.8</v>
      </c>
      <c r="P134" s="84">
        <f t="shared" si="8"/>
        <v>2021</v>
      </c>
      <c r="Q134" s="11" t="str">
        <f>VLOOKUP($N134,'2 CODIFICATION'!$G$5:$L$71,3,FALSE)</f>
        <v>Frais bancaires</v>
      </c>
      <c r="R134" s="53" t="str">
        <f>VLOOKUP($N134,'2 CODIFICATION'!$G$5:$L$71,4,FALSE)</f>
        <v>chges</v>
      </c>
      <c r="S134" s="53">
        <f>VLOOKUP($N134,'2 CODIFICATION'!$G$5:$L$71,5,FALSE)</f>
        <v>62</v>
      </c>
      <c r="T134" s="11" t="str">
        <f>VLOOKUP($N134,'2 CODIFICATION'!$G$5:$L$71,6,FALSE)</f>
        <v>Autres services extérieurs</v>
      </c>
    </row>
    <row r="135" spans="1:20" s="61" customFormat="1" ht="14.5" hidden="1" customHeight="1">
      <c r="A135" s="61" t="s">
        <v>170</v>
      </c>
      <c r="B135" s="61" t="s">
        <v>82</v>
      </c>
      <c r="C135" s="152">
        <f t="shared" si="10"/>
        <v>58</v>
      </c>
      <c r="D135" s="153">
        <v>44469</v>
      </c>
      <c r="E135" s="154" t="s">
        <v>309</v>
      </c>
      <c r="F135" s="152" t="s">
        <v>257</v>
      </c>
      <c r="G135" s="156"/>
      <c r="H135" s="157">
        <v>5.2</v>
      </c>
      <c r="I135" s="66">
        <f t="shared" si="11"/>
        <v>1969.8400000000038</v>
      </c>
      <c r="J135" s="162" t="s">
        <v>308</v>
      </c>
      <c r="K135" s="158">
        <v>6270</v>
      </c>
      <c r="L135" s="74" t="str">
        <f>VLOOKUP($J135,'2 CODIFICATION'!A$5:B$17,2,"FAUX")</f>
        <v>DASSOUTE TEUILLAC MARAICHAGE</v>
      </c>
      <c r="M135" s="20" t="str">
        <f>VLOOKUP($K135,'2 CODIFICATION'!D$8:E$64,2,"FAUX")</f>
        <v>Frais de banque</v>
      </c>
      <c r="N135" s="28">
        <f t="shared" si="9"/>
        <v>627000</v>
      </c>
      <c r="O135" s="14">
        <f t="shared" si="7"/>
        <v>-5.2</v>
      </c>
      <c r="P135" s="84">
        <f t="shared" si="8"/>
        <v>2021</v>
      </c>
      <c r="Q135" s="11" t="str">
        <f>VLOOKUP($N135,'2 CODIFICATION'!$G$5:$L$71,3,FALSE)</f>
        <v>Frais bancaires</v>
      </c>
      <c r="R135" s="53" t="str">
        <f>VLOOKUP($N135,'2 CODIFICATION'!$G$5:$L$71,4,FALSE)</f>
        <v>chges</v>
      </c>
      <c r="S135" s="53">
        <f>VLOOKUP($N135,'2 CODIFICATION'!$G$5:$L$71,5,FALSE)</f>
        <v>62</v>
      </c>
      <c r="T135" s="11" t="str">
        <f>VLOOKUP($N135,'2 CODIFICATION'!$G$5:$L$71,6,FALSE)</f>
        <v>Autres services extérieurs</v>
      </c>
    </row>
    <row r="136" spans="1:20" s="61" customFormat="1" ht="14.5" hidden="1" customHeight="1">
      <c r="A136" s="61" t="s">
        <v>170</v>
      </c>
      <c r="B136" s="61" t="s">
        <v>82</v>
      </c>
      <c r="C136" s="152">
        <f t="shared" si="10"/>
        <v>59</v>
      </c>
      <c r="D136" s="153">
        <v>44469</v>
      </c>
      <c r="E136" s="154" t="s">
        <v>309</v>
      </c>
      <c r="F136" s="152" t="s">
        <v>257</v>
      </c>
      <c r="G136" s="156"/>
      <c r="H136" s="157">
        <f>-6.6-5.8-5.2</f>
        <v>-17.599999999999998</v>
      </c>
      <c r="I136" s="66">
        <f t="shared" si="11"/>
        <v>1987.4400000000037</v>
      </c>
      <c r="J136" s="162" t="s">
        <v>232</v>
      </c>
      <c r="K136" s="158">
        <v>6270</v>
      </c>
      <c r="L136" s="74" t="str">
        <f>VLOOKUP($J136,'2 CODIFICATION'!A$5:B$17,2,"FAUX")</f>
        <v>DASSOUTE TEUILLAC CONST ECOLE</v>
      </c>
      <c r="M136" s="20" t="str">
        <f>VLOOKUP($K136,'2 CODIFICATION'!D$8:E$64,2,"FAUX")</f>
        <v>Frais de banque</v>
      </c>
      <c r="N136" s="28">
        <f t="shared" si="9"/>
        <v>627000</v>
      </c>
      <c r="O136" s="14">
        <f t="shared" si="7"/>
        <v>17.599999999999998</v>
      </c>
      <c r="P136" s="84">
        <f t="shared" si="8"/>
        <v>2021</v>
      </c>
      <c r="Q136" s="11" t="str">
        <f>VLOOKUP($N136,'2 CODIFICATION'!$G$5:$L$71,3,FALSE)</f>
        <v>Frais bancaires</v>
      </c>
      <c r="R136" s="53" t="str">
        <f>VLOOKUP($N136,'2 CODIFICATION'!$G$5:$L$71,4,FALSE)</f>
        <v>chges</v>
      </c>
      <c r="S136" s="53">
        <f>VLOOKUP($N136,'2 CODIFICATION'!$G$5:$L$71,5,FALSE)</f>
        <v>62</v>
      </c>
      <c r="T136" s="11" t="str">
        <f>VLOOKUP($N136,'2 CODIFICATION'!$G$5:$L$71,6,FALSE)</f>
        <v>Autres services extérieurs</v>
      </c>
    </row>
    <row r="137" spans="1:20" s="61" customFormat="1" ht="14.5" hidden="1" customHeight="1">
      <c r="A137" s="61" t="s">
        <v>170</v>
      </c>
      <c r="B137" s="61" t="s">
        <v>82</v>
      </c>
      <c r="C137" s="152">
        <f>1+C135</f>
        <v>59</v>
      </c>
      <c r="D137" s="153">
        <v>44469</v>
      </c>
      <c r="E137" s="152" t="s">
        <v>310</v>
      </c>
      <c r="F137" s="152" t="s">
        <v>256</v>
      </c>
      <c r="G137" s="159">
        <v>0</v>
      </c>
      <c r="H137" s="160">
        <v>785</v>
      </c>
      <c r="I137" s="66">
        <f t="shared" si="11"/>
        <v>1202.4400000000037</v>
      </c>
      <c r="J137" s="162" t="s">
        <v>308</v>
      </c>
      <c r="K137" s="158">
        <v>6071</v>
      </c>
      <c r="L137" s="74" t="str">
        <f>VLOOKUP($J137,'2 CODIFICATION'!A$5:B$17,2,"FAUX")</f>
        <v>DASSOUTE TEUILLAC MARAICHAGE</v>
      </c>
      <c r="M137" s="20" t="str">
        <f>VLOOKUP($K137,'2 CODIFICATION'!D$8:E$64,2,"FAUX")</f>
        <v>Achats fournitures et matériels</v>
      </c>
      <c r="N137" s="28">
        <f t="shared" si="9"/>
        <v>607100</v>
      </c>
      <c r="O137" s="14">
        <f t="shared" ref="O137:O163" si="12">G137-H137</f>
        <v>-785</v>
      </c>
      <c r="P137" s="84">
        <f t="shared" ref="P137:P163" si="13">YEAR(D137)</f>
        <v>2021</v>
      </c>
      <c r="Q137" s="11" t="str">
        <f>VLOOKUP($N137,'2 CODIFICATION'!$G$5:$L$71,3,FALSE)</f>
        <v>Achats fournitures et matériels</v>
      </c>
      <c r="R137" s="53" t="str">
        <f>VLOOKUP($N137,'2 CODIFICATION'!$G$5:$L$71,4,FALSE)</f>
        <v>chges</v>
      </c>
      <c r="S137" s="53">
        <f>VLOOKUP($N137,'2 CODIFICATION'!$G$5:$L$71,5,FALSE)</f>
        <v>60</v>
      </c>
      <c r="T137" s="11" t="str">
        <f>VLOOKUP($N137,'2 CODIFICATION'!$G$5:$L$71,6,FALSE)</f>
        <v>Services extérieurs</v>
      </c>
    </row>
    <row r="138" spans="1:20" s="61" customFormat="1" ht="14.5" hidden="1" customHeight="1">
      <c r="A138" s="61" t="s">
        <v>170</v>
      </c>
      <c r="B138" s="61" t="s">
        <v>82</v>
      </c>
      <c r="C138" s="152">
        <f>1+C136</f>
        <v>60</v>
      </c>
      <c r="D138" s="153">
        <v>44469</v>
      </c>
      <c r="E138" s="152" t="s">
        <v>310</v>
      </c>
      <c r="F138" s="152" t="s">
        <v>256</v>
      </c>
      <c r="G138" s="159">
        <v>0</v>
      </c>
      <c r="H138" s="160">
        <v>-785</v>
      </c>
      <c r="I138" s="66">
        <f t="shared" si="11"/>
        <v>1987.4400000000037</v>
      </c>
      <c r="J138" s="162" t="s">
        <v>307</v>
      </c>
      <c r="K138" s="158">
        <v>6071</v>
      </c>
      <c r="L138" s="74" t="str">
        <f>VLOOKUP($J138,'2 CODIFICATION'!A$5:B$17,2,"FAUX")</f>
        <v>DASSOUTE TEUILLAC FOURN SCOLAIRES</v>
      </c>
      <c r="M138" s="20" t="str">
        <f>VLOOKUP($K138,'2 CODIFICATION'!D$8:E$64,2,"FAUX")</f>
        <v>Achats fournitures et matériels</v>
      </c>
      <c r="N138" s="28">
        <f t="shared" si="9"/>
        <v>607100</v>
      </c>
      <c r="O138" s="14">
        <f t="shared" si="12"/>
        <v>785</v>
      </c>
      <c r="P138" s="84">
        <f t="shared" si="13"/>
        <v>2021</v>
      </c>
      <c r="Q138" s="11" t="str">
        <f>VLOOKUP($N138,'2 CODIFICATION'!$G$5:$L$71,3,FALSE)</f>
        <v>Achats fournitures et matériels</v>
      </c>
      <c r="R138" s="53" t="str">
        <f>VLOOKUP($N138,'2 CODIFICATION'!$G$5:$L$71,4,FALSE)</f>
        <v>chges</v>
      </c>
      <c r="S138" s="53">
        <f>VLOOKUP($N138,'2 CODIFICATION'!$G$5:$L$71,5,FALSE)</f>
        <v>60</v>
      </c>
      <c r="T138" s="11" t="str">
        <f>VLOOKUP($N138,'2 CODIFICATION'!$G$5:$L$71,6,FALSE)</f>
        <v>Services extérieurs</v>
      </c>
    </row>
    <row r="139" spans="1:20" s="61" customFormat="1" ht="14.5" hidden="1" customHeight="1">
      <c r="A139" s="61" t="s">
        <v>170</v>
      </c>
      <c r="B139" s="61" t="s">
        <v>82</v>
      </c>
      <c r="C139" s="152">
        <f>1+C137</f>
        <v>60</v>
      </c>
      <c r="D139" s="153">
        <v>44446</v>
      </c>
      <c r="E139" s="154" t="s">
        <v>311</v>
      </c>
      <c r="F139" s="155" t="s">
        <v>256</v>
      </c>
      <c r="G139" s="156"/>
      <c r="H139" s="157">
        <f>-3703+3595</f>
        <v>-108</v>
      </c>
      <c r="I139" s="66">
        <f t="shared" si="11"/>
        <v>2095.4400000000037</v>
      </c>
      <c r="J139" s="165" t="s">
        <v>232</v>
      </c>
      <c r="K139" s="158">
        <v>6070</v>
      </c>
      <c r="L139" s="74" t="str">
        <f>VLOOKUP($J139,'2 CODIFICATION'!A$5:B$17,2,"FAUX")</f>
        <v>DASSOUTE TEUILLAC CONST ECOLE</v>
      </c>
      <c r="M139" s="20" t="str">
        <f>VLOOKUP($K139,'2 CODIFICATION'!D$8:E$64,2,"FAUX")</f>
        <v>Achats matériaux</v>
      </c>
      <c r="N139" s="28">
        <f t="shared" si="9"/>
        <v>607000</v>
      </c>
      <c r="O139" s="14">
        <f t="shared" si="12"/>
        <v>108</v>
      </c>
      <c r="P139" s="84">
        <f t="shared" si="13"/>
        <v>2021</v>
      </c>
      <c r="Q139" s="11" t="str">
        <f>VLOOKUP($N139,'2 CODIFICATION'!$G$5:$L$71,3,FALSE)</f>
        <v>Achats matériaux</v>
      </c>
      <c r="R139" s="53" t="str">
        <f>VLOOKUP($N139,'2 CODIFICATION'!$G$5:$L$71,4,FALSE)</f>
        <v>chges</v>
      </c>
      <c r="S139" s="53">
        <f>VLOOKUP($N139,'2 CODIFICATION'!$G$5:$L$71,5,FALSE)</f>
        <v>60</v>
      </c>
      <c r="T139" s="11" t="str">
        <f>VLOOKUP($N139,'2 CODIFICATION'!$G$5:$L$71,6,FALSE)</f>
        <v>Achat</v>
      </c>
    </row>
    <row r="140" spans="1:20" s="61" customFormat="1" ht="14.5" hidden="1" customHeight="1">
      <c r="A140" s="61" t="s">
        <v>170</v>
      </c>
      <c r="B140" s="61" t="s">
        <v>82</v>
      </c>
      <c r="C140" s="152">
        <f>1+C138</f>
        <v>61</v>
      </c>
      <c r="D140" s="153">
        <v>44446</v>
      </c>
      <c r="E140" s="154" t="s">
        <v>311</v>
      </c>
      <c r="F140" s="155" t="s">
        <v>256</v>
      </c>
      <c r="G140" s="156"/>
      <c r="H140" s="157">
        <v>108</v>
      </c>
      <c r="I140" s="66">
        <f t="shared" si="11"/>
        <v>1987.4400000000037</v>
      </c>
      <c r="J140" s="165" t="s">
        <v>307</v>
      </c>
      <c r="K140" s="158">
        <v>6071</v>
      </c>
      <c r="L140" s="74" t="str">
        <f>VLOOKUP($J140,'2 CODIFICATION'!A$5:B$17,2,"FAUX")</f>
        <v>DASSOUTE TEUILLAC FOURN SCOLAIRES</v>
      </c>
      <c r="M140" s="20" t="str">
        <f>VLOOKUP($K140,'2 CODIFICATION'!D$8:E$64,2,"FAUX")</f>
        <v>Achats fournitures et matériels</v>
      </c>
      <c r="N140" s="28">
        <f t="shared" si="9"/>
        <v>607100</v>
      </c>
      <c r="O140" s="14">
        <f t="shared" si="12"/>
        <v>-108</v>
      </c>
      <c r="P140" s="84">
        <f t="shared" si="13"/>
        <v>2021</v>
      </c>
      <c r="Q140" s="11" t="str">
        <f>VLOOKUP($N140,'2 CODIFICATION'!$G$5:$L$71,3,FALSE)</f>
        <v>Achats fournitures et matériels</v>
      </c>
      <c r="R140" s="53" t="str">
        <f>VLOOKUP($N140,'2 CODIFICATION'!$G$5:$L$71,4,FALSE)</f>
        <v>chges</v>
      </c>
      <c r="S140" s="53">
        <f>VLOOKUP($N140,'2 CODIFICATION'!$G$5:$L$71,5,FALSE)</f>
        <v>60</v>
      </c>
      <c r="T140" s="11" t="str">
        <f>VLOOKUP($N140,'2 CODIFICATION'!$G$5:$L$71,6,FALSE)</f>
        <v>Services extérieurs</v>
      </c>
    </row>
    <row r="141" spans="1:20" ht="14.5" hidden="1" customHeight="1">
      <c r="A141" s="61" t="s">
        <v>170</v>
      </c>
      <c r="B141" s="171" t="s">
        <v>79</v>
      </c>
      <c r="C141" s="169">
        <v>4666904</v>
      </c>
      <c r="D141" s="170">
        <v>44479</v>
      </c>
      <c r="E141" s="168" t="s">
        <v>317</v>
      </c>
      <c r="F141" s="17"/>
      <c r="G141" s="228">
        <v>50</v>
      </c>
      <c r="H141" s="167"/>
      <c r="I141" s="66">
        <f t="shared" si="11"/>
        <v>2037.4400000000037</v>
      </c>
      <c r="J141" s="163" t="s">
        <v>273</v>
      </c>
      <c r="K141" s="104">
        <v>7581</v>
      </c>
      <c r="L141" s="74" t="str">
        <f>VLOOKUP($J141,'2 CODIFICATION'!A$5:B$17,2,"FAUX")</f>
        <v>ADMINIST ET FONCT</v>
      </c>
      <c r="M141" s="74" t="str">
        <f>VLOOKUP($K141,'2 CODIFICATION'!D$8:E$64,2,"FAUX")</f>
        <v>Adhésions association</v>
      </c>
      <c r="N141" s="45">
        <f>+K141*100</f>
        <v>758100</v>
      </c>
      <c r="O141" s="14">
        <f t="shared" si="12"/>
        <v>50</v>
      </c>
      <c r="P141" s="84">
        <f t="shared" si="13"/>
        <v>2021</v>
      </c>
      <c r="Q141" s="11" t="str">
        <f>VLOOKUP($N141,'2 CODIFICATION'!$G$5:$L$71,3,FALSE)</f>
        <v>Cotisations individuelles et associatives</v>
      </c>
      <c r="R141" s="53" t="str">
        <f>VLOOKUP($N141,'2 CODIFICATION'!$G$5:$L$71,4,FALSE)</f>
        <v>pdts</v>
      </c>
      <c r="S141" s="53">
        <f>VLOOKUP($N141,'2 CODIFICATION'!$G$5:$L$71,5,FALSE)</f>
        <v>75</v>
      </c>
      <c r="T141" s="11" t="str">
        <f>VLOOKUP($N141,'2 CODIFICATION'!$G$5:$L$71,6,FALSE)</f>
        <v>Autres produits de gestion courante</v>
      </c>
    </row>
    <row r="142" spans="1:20" ht="14.5" hidden="1" customHeight="1">
      <c r="A142" s="61" t="s">
        <v>170</v>
      </c>
      <c r="B142" s="171" t="s">
        <v>79</v>
      </c>
      <c r="C142" s="169">
        <v>7141953</v>
      </c>
      <c r="D142" s="170">
        <v>44479</v>
      </c>
      <c r="E142" s="168" t="s">
        <v>322</v>
      </c>
      <c r="F142" s="17"/>
      <c r="G142" s="228">
        <v>200</v>
      </c>
      <c r="H142" s="167"/>
      <c r="I142" s="66">
        <f t="shared" si="11"/>
        <v>2237.4400000000037</v>
      </c>
      <c r="J142" s="163" t="s">
        <v>273</v>
      </c>
      <c r="K142" s="104">
        <v>7581</v>
      </c>
      <c r="L142" s="74" t="str">
        <f>VLOOKUP($J142,'2 CODIFICATION'!A$5:B$17,2,"FAUX")</f>
        <v>ADMINIST ET FONCT</v>
      </c>
      <c r="M142" s="74" t="str">
        <f>VLOOKUP($K142,'2 CODIFICATION'!D$8:E$64,2,"FAUX")</f>
        <v>Adhésions association</v>
      </c>
      <c r="N142" s="45">
        <f t="shared" ref="N142:N163" si="14">+K142*100</f>
        <v>758100</v>
      </c>
      <c r="O142" s="14">
        <f t="shared" si="12"/>
        <v>200</v>
      </c>
      <c r="P142" s="84">
        <f t="shared" si="13"/>
        <v>2021</v>
      </c>
      <c r="Q142" s="11" t="str">
        <f>VLOOKUP($N142,'2 CODIFICATION'!$G$5:$L$71,3,FALSE)</f>
        <v>Cotisations individuelles et associatives</v>
      </c>
      <c r="R142" s="53" t="str">
        <f>VLOOKUP($N142,'2 CODIFICATION'!$G$5:$L$71,4,FALSE)</f>
        <v>pdts</v>
      </c>
      <c r="S142" s="53">
        <f>VLOOKUP($N142,'2 CODIFICATION'!$G$5:$L$71,5,FALSE)</f>
        <v>75</v>
      </c>
      <c r="T142" s="11" t="str">
        <f>VLOOKUP($N142,'2 CODIFICATION'!$G$5:$L$71,6,FALSE)</f>
        <v>Autres produits de gestion courante</v>
      </c>
    </row>
    <row r="143" spans="1:20" ht="14.5" hidden="1" customHeight="1">
      <c r="A143" s="61" t="s">
        <v>170</v>
      </c>
      <c r="B143" s="171" t="s">
        <v>79</v>
      </c>
      <c r="C143" s="169">
        <v>1707</v>
      </c>
      <c r="D143" s="170">
        <v>44480</v>
      </c>
      <c r="E143" s="168" t="s">
        <v>318</v>
      </c>
      <c r="F143" s="17"/>
      <c r="G143" s="228">
        <v>20</v>
      </c>
      <c r="H143" s="167"/>
      <c r="I143" s="66">
        <f t="shared" si="11"/>
        <v>2257.4400000000037</v>
      </c>
      <c r="J143" s="163" t="s">
        <v>273</v>
      </c>
      <c r="K143" s="104">
        <v>7581</v>
      </c>
      <c r="L143" s="74" t="str">
        <f>VLOOKUP($J143,'2 CODIFICATION'!A$5:B$17,2,"FAUX")</f>
        <v>ADMINIST ET FONCT</v>
      </c>
      <c r="M143" s="74" t="str">
        <f>VLOOKUP($K143,'2 CODIFICATION'!D$8:E$64,2,"FAUX")</f>
        <v>Adhésions association</v>
      </c>
      <c r="N143" s="45">
        <f t="shared" si="14"/>
        <v>758100</v>
      </c>
      <c r="O143" s="14">
        <f t="shared" si="12"/>
        <v>20</v>
      </c>
      <c r="P143" s="84">
        <f t="shared" si="13"/>
        <v>2021</v>
      </c>
      <c r="Q143" s="11" t="str">
        <f>VLOOKUP($N143,'2 CODIFICATION'!$G$5:$L$71,3,FALSE)</f>
        <v>Cotisations individuelles et associatives</v>
      </c>
      <c r="R143" s="53" t="str">
        <f>VLOOKUP($N143,'2 CODIFICATION'!$G$5:$L$71,4,FALSE)</f>
        <v>pdts</v>
      </c>
      <c r="S143" s="53">
        <f>VLOOKUP($N143,'2 CODIFICATION'!$G$5:$L$71,5,FALSE)</f>
        <v>75</v>
      </c>
      <c r="T143" s="11" t="str">
        <f>VLOOKUP($N143,'2 CODIFICATION'!$G$5:$L$71,6,FALSE)</f>
        <v>Autres produits de gestion courante</v>
      </c>
    </row>
    <row r="144" spans="1:20" ht="14.5" hidden="1" customHeight="1">
      <c r="A144" s="61" t="s">
        <v>170</v>
      </c>
      <c r="B144" s="171" t="s">
        <v>79</v>
      </c>
      <c r="C144" s="169">
        <v>651181</v>
      </c>
      <c r="D144" s="170">
        <v>44480</v>
      </c>
      <c r="E144" s="168" t="s">
        <v>319</v>
      </c>
      <c r="F144" s="17"/>
      <c r="G144" s="228">
        <v>20</v>
      </c>
      <c r="H144" s="167"/>
      <c r="I144" s="66">
        <f t="shared" si="11"/>
        <v>2277.4400000000037</v>
      </c>
      <c r="J144" s="163" t="s">
        <v>273</v>
      </c>
      <c r="K144" s="104">
        <v>7581</v>
      </c>
      <c r="L144" s="74" t="str">
        <f>VLOOKUP($J144,'2 CODIFICATION'!A$5:B$17,2,"FAUX")</f>
        <v>ADMINIST ET FONCT</v>
      </c>
      <c r="M144" s="74" t="str">
        <f>VLOOKUP($K144,'2 CODIFICATION'!D$8:E$64,2,"FAUX")</f>
        <v>Adhésions association</v>
      </c>
      <c r="N144" s="45">
        <f t="shared" si="14"/>
        <v>758100</v>
      </c>
      <c r="O144" s="14">
        <f t="shared" si="12"/>
        <v>20</v>
      </c>
      <c r="P144" s="84">
        <f t="shared" si="13"/>
        <v>2021</v>
      </c>
      <c r="Q144" s="11" t="str">
        <f>VLOOKUP($N144,'2 CODIFICATION'!$G$5:$L$71,3,FALSE)</f>
        <v>Cotisations individuelles et associatives</v>
      </c>
      <c r="R144" s="53" t="str">
        <f>VLOOKUP($N144,'2 CODIFICATION'!$G$5:$L$71,4,FALSE)</f>
        <v>pdts</v>
      </c>
      <c r="S144" s="53">
        <f>VLOOKUP($N144,'2 CODIFICATION'!$G$5:$L$71,5,FALSE)</f>
        <v>75</v>
      </c>
      <c r="T144" s="11" t="str">
        <f>VLOOKUP($N144,'2 CODIFICATION'!$G$5:$L$71,6,FALSE)</f>
        <v>Autres produits de gestion courante</v>
      </c>
    </row>
    <row r="145" spans="1:20" ht="14.5" hidden="1" customHeight="1">
      <c r="A145" s="61" t="s">
        <v>170</v>
      </c>
      <c r="B145" s="171" t="s">
        <v>79</v>
      </c>
      <c r="C145" s="169">
        <v>1166</v>
      </c>
      <c r="D145" s="170">
        <v>44480</v>
      </c>
      <c r="E145" s="168" t="s">
        <v>320</v>
      </c>
      <c r="F145" s="17"/>
      <c r="G145" s="228">
        <v>30</v>
      </c>
      <c r="H145" s="167"/>
      <c r="I145" s="66">
        <f t="shared" si="11"/>
        <v>2307.4400000000037</v>
      </c>
      <c r="J145" s="163" t="s">
        <v>273</v>
      </c>
      <c r="K145" s="104">
        <v>7581</v>
      </c>
      <c r="L145" s="74" t="str">
        <f>VLOOKUP($J145,'2 CODIFICATION'!A$5:B$17,2,"FAUX")</f>
        <v>ADMINIST ET FONCT</v>
      </c>
      <c r="M145" s="74" t="str">
        <f>VLOOKUP($K145,'2 CODIFICATION'!D$8:E$64,2,"FAUX")</f>
        <v>Adhésions association</v>
      </c>
      <c r="N145" s="45">
        <f t="shared" si="14"/>
        <v>758100</v>
      </c>
      <c r="O145" s="14">
        <f t="shared" si="12"/>
        <v>30</v>
      </c>
      <c r="P145" s="84">
        <f t="shared" si="13"/>
        <v>2021</v>
      </c>
      <c r="Q145" s="11" t="str">
        <f>VLOOKUP($N145,'2 CODIFICATION'!$G$5:$L$71,3,FALSE)</f>
        <v>Cotisations individuelles et associatives</v>
      </c>
      <c r="R145" s="53" t="str">
        <f>VLOOKUP($N145,'2 CODIFICATION'!$G$5:$L$71,4,FALSE)</f>
        <v>pdts</v>
      </c>
      <c r="S145" s="53">
        <f>VLOOKUP($N145,'2 CODIFICATION'!$G$5:$L$71,5,FALSE)</f>
        <v>75</v>
      </c>
      <c r="T145" s="11" t="str">
        <f>VLOOKUP($N145,'2 CODIFICATION'!$G$5:$L$71,6,FALSE)</f>
        <v>Autres produits de gestion courante</v>
      </c>
    </row>
    <row r="146" spans="1:20" ht="14.5" hidden="1" customHeight="1">
      <c r="A146" s="61" t="s">
        <v>170</v>
      </c>
      <c r="B146" s="171" t="s">
        <v>79</v>
      </c>
      <c r="C146" s="169">
        <v>44403</v>
      </c>
      <c r="D146" s="170">
        <v>44480</v>
      </c>
      <c r="E146" s="168" t="s">
        <v>321</v>
      </c>
      <c r="F146" s="17"/>
      <c r="G146" s="228">
        <v>700</v>
      </c>
      <c r="H146" s="167"/>
      <c r="I146" s="66">
        <f t="shared" si="11"/>
        <v>3007.4400000000037</v>
      </c>
      <c r="J146" s="163" t="s">
        <v>273</v>
      </c>
      <c r="K146" s="104">
        <v>7581</v>
      </c>
      <c r="L146" s="74" t="str">
        <f>VLOOKUP($J146,'2 CODIFICATION'!A$5:B$17,2,"FAUX")</f>
        <v>ADMINIST ET FONCT</v>
      </c>
      <c r="M146" s="74" t="str">
        <f>VLOOKUP($K146,'2 CODIFICATION'!D$8:E$64,2,"FAUX")</f>
        <v>Adhésions association</v>
      </c>
      <c r="N146" s="45">
        <f t="shared" si="14"/>
        <v>758100</v>
      </c>
      <c r="O146" s="14">
        <f t="shared" si="12"/>
        <v>700</v>
      </c>
      <c r="P146" s="84">
        <f t="shared" si="13"/>
        <v>2021</v>
      </c>
      <c r="Q146" s="11" t="str">
        <f>VLOOKUP($N146,'2 CODIFICATION'!$G$5:$L$71,3,FALSE)</f>
        <v>Cotisations individuelles et associatives</v>
      </c>
      <c r="R146" s="53" t="str">
        <f>VLOOKUP($N146,'2 CODIFICATION'!$G$5:$L$71,4,FALSE)</f>
        <v>pdts</v>
      </c>
      <c r="S146" s="53">
        <f>VLOOKUP($N146,'2 CODIFICATION'!$G$5:$L$71,5,FALSE)</f>
        <v>75</v>
      </c>
      <c r="T146" s="11" t="str">
        <f>VLOOKUP($N146,'2 CODIFICATION'!$G$5:$L$71,6,FALSE)</f>
        <v>Autres produits de gestion courante</v>
      </c>
    </row>
    <row r="147" spans="1:20" ht="14.5" hidden="1" customHeight="1">
      <c r="A147" s="171" t="s">
        <v>170</v>
      </c>
      <c r="B147" s="171" t="s">
        <v>79</v>
      </c>
      <c r="C147" s="111"/>
      <c r="D147" s="112">
        <v>44481</v>
      </c>
      <c r="E147" s="168" t="s">
        <v>341</v>
      </c>
      <c r="F147" s="17"/>
      <c r="G147" s="113"/>
      <c r="H147" s="229">
        <v>200</v>
      </c>
      <c r="I147" s="66">
        <f t="shared" si="11"/>
        <v>2807.4400000000037</v>
      </c>
      <c r="J147" s="163" t="s">
        <v>232</v>
      </c>
      <c r="K147" s="104">
        <v>6071</v>
      </c>
      <c r="L147" s="74" t="str">
        <f>VLOOKUP($J147,'2 CODIFICATION'!A$5:B$17,2,"FAUX")</f>
        <v>DASSOUTE TEUILLAC CONST ECOLE</v>
      </c>
      <c r="M147" s="74" t="str">
        <f>VLOOKUP($K147,'2 CODIFICATION'!D$8:E$64,2,"FAUX")</f>
        <v>Achats fournitures et matériels</v>
      </c>
      <c r="N147" s="45">
        <f t="shared" si="14"/>
        <v>607100</v>
      </c>
      <c r="O147" s="14">
        <f t="shared" si="12"/>
        <v>-200</v>
      </c>
      <c r="P147" s="84">
        <f t="shared" si="13"/>
        <v>2021</v>
      </c>
      <c r="Q147" s="11" t="str">
        <f>VLOOKUP($N147,'2 CODIFICATION'!$G$5:$L$71,3,FALSE)</f>
        <v>Achats fournitures et matériels</v>
      </c>
      <c r="R147" s="53" t="str">
        <f>VLOOKUP($N147,'2 CODIFICATION'!$G$5:$L$71,4,FALSE)</f>
        <v>chges</v>
      </c>
      <c r="S147" s="53">
        <f>VLOOKUP($N147,'2 CODIFICATION'!$G$5:$L$71,5,FALSE)</f>
        <v>60</v>
      </c>
      <c r="T147" s="11" t="str">
        <f>VLOOKUP($N147,'2 CODIFICATION'!$G$5:$L$71,6,FALSE)</f>
        <v>Services extérieurs</v>
      </c>
    </row>
    <row r="148" spans="1:20" ht="14.5" hidden="1" customHeight="1">
      <c r="A148" s="171" t="s">
        <v>170</v>
      </c>
      <c r="B148" s="171" t="s">
        <v>79</v>
      </c>
      <c r="C148" s="111"/>
      <c r="D148" s="112">
        <v>44481</v>
      </c>
      <c r="E148" s="168" t="s">
        <v>280</v>
      </c>
      <c r="F148" s="17"/>
      <c r="G148" s="113"/>
      <c r="H148" s="229">
        <v>3.9</v>
      </c>
      <c r="I148" s="66">
        <f t="shared" si="11"/>
        <v>2803.5400000000036</v>
      </c>
      <c r="J148" s="163" t="s">
        <v>232</v>
      </c>
      <c r="K148" s="104">
        <v>6270</v>
      </c>
      <c r="L148" s="74" t="str">
        <f>VLOOKUP($J148,'2 CODIFICATION'!A$5:B$17,2,"FAUX")</f>
        <v>DASSOUTE TEUILLAC CONST ECOLE</v>
      </c>
      <c r="M148" s="74" t="str">
        <f>VLOOKUP($K148,'2 CODIFICATION'!D$8:E$64,2,"FAUX")</f>
        <v>Frais de banque</v>
      </c>
      <c r="N148" s="45">
        <f t="shared" si="14"/>
        <v>627000</v>
      </c>
      <c r="O148" s="14">
        <f t="shared" si="12"/>
        <v>-3.9</v>
      </c>
      <c r="P148" s="84">
        <f t="shared" si="13"/>
        <v>2021</v>
      </c>
      <c r="Q148" s="11" t="str">
        <f>VLOOKUP($N148,'2 CODIFICATION'!$G$5:$L$71,3,FALSE)</f>
        <v>Frais bancaires</v>
      </c>
      <c r="R148" s="53" t="str">
        <f>VLOOKUP($N148,'2 CODIFICATION'!$G$5:$L$71,4,FALSE)</f>
        <v>chges</v>
      </c>
      <c r="S148" s="53">
        <f>VLOOKUP($N148,'2 CODIFICATION'!$G$5:$L$71,5,FALSE)</f>
        <v>62</v>
      </c>
      <c r="T148" s="11" t="str">
        <f>VLOOKUP($N148,'2 CODIFICATION'!$G$5:$L$71,6,FALSE)</f>
        <v>Autres services extérieurs</v>
      </c>
    </row>
    <row r="149" spans="1:20" ht="14.5" hidden="1" customHeight="1">
      <c r="A149" s="171" t="s">
        <v>170</v>
      </c>
      <c r="B149" s="171" t="s">
        <v>79</v>
      </c>
      <c r="C149" s="111"/>
      <c r="D149" s="112">
        <v>44489</v>
      </c>
      <c r="E149" s="168" t="s">
        <v>341</v>
      </c>
      <c r="F149" s="17"/>
      <c r="G149" s="113"/>
      <c r="H149" s="229">
        <v>350</v>
      </c>
      <c r="I149" s="66">
        <f t="shared" si="11"/>
        <v>2453.5400000000036</v>
      </c>
      <c r="J149" s="163" t="s">
        <v>232</v>
      </c>
      <c r="K149" s="104">
        <v>6071</v>
      </c>
      <c r="L149" s="74" t="str">
        <f>VLOOKUP($J149,'2 CODIFICATION'!A$5:B$17,2,"FAUX")</f>
        <v>DASSOUTE TEUILLAC CONST ECOLE</v>
      </c>
      <c r="M149" s="74" t="str">
        <f>VLOOKUP($K149,'2 CODIFICATION'!D$8:E$64,2,"FAUX")</f>
        <v>Achats fournitures et matériels</v>
      </c>
      <c r="N149" s="45">
        <f t="shared" si="14"/>
        <v>607100</v>
      </c>
      <c r="O149" s="14">
        <f t="shared" si="12"/>
        <v>-350</v>
      </c>
      <c r="P149" s="84">
        <f t="shared" si="13"/>
        <v>2021</v>
      </c>
      <c r="Q149" s="11" t="str">
        <f>VLOOKUP($N149,'2 CODIFICATION'!$G$5:$L$71,3,FALSE)</f>
        <v>Achats fournitures et matériels</v>
      </c>
      <c r="R149" s="53" t="str">
        <f>VLOOKUP($N149,'2 CODIFICATION'!$G$5:$L$71,4,FALSE)</f>
        <v>chges</v>
      </c>
      <c r="S149" s="53">
        <f>VLOOKUP($N149,'2 CODIFICATION'!$G$5:$L$71,5,FALSE)</f>
        <v>60</v>
      </c>
      <c r="T149" s="11" t="str">
        <f>VLOOKUP($N149,'2 CODIFICATION'!$G$5:$L$71,6,FALSE)</f>
        <v>Services extérieurs</v>
      </c>
    </row>
    <row r="150" spans="1:20" ht="14.5" hidden="1" customHeight="1">
      <c r="A150" s="171" t="s">
        <v>170</v>
      </c>
      <c r="B150" s="171" t="s">
        <v>79</v>
      </c>
      <c r="C150" s="111"/>
      <c r="D150" s="112">
        <v>44489</v>
      </c>
      <c r="E150" s="168" t="s">
        <v>280</v>
      </c>
      <c r="F150" s="17"/>
      <c r="G150" s="113"/>
      <c r="H150" s="229">
        <v>5.4</v>
      </c>
      <c r="I150" s="66">
        <f t="shared" si="11"/>
        <v>2448.1400000000035</v>
      </c>
      <c r="J150" s="163" t="s">
        <v>232</v>
      </c>
      <c r="K150" s="104">
        <v>6270</v>
      </c>
      <c r="L150" s="74" t="str">
        <f>VLOOKUP($J150,'2 CODIFICATION'!A$5:B$17,2,"FAUX")</f>
        <v>DASSOUTE TEUILLAC CONST ECOLE</v>
      </c>
      <c r="M150" s="74" t="str">
        <f>VLOOKUP($K150,'2 CODIFICATION'!D$8:E$64,2,"FAUX")</f>
        <v>Frais de banque</v>
      </c>
      <c r="N150" s="45">
        <f t="shared" si="14"/>
        <v>627000</v>
      </c>
      <c r="O150" s="14">
        <f t="shared" si="12"/>
        <v>-5.4</v>
      </c>
      <c r="P150" s="84">
        <f t="shared" si="13"/>
        <v>2021</v>
      </c>
      <c r="Q150" s="11" t="str">
        <f>VLOOKUP($N150,'2 CODIFICATION'!$G$5:$L$71,3,FALSE)</f>
        <v>Frais bancaires</v>
      </c>
      <c r="R150" s="53" t="str">
        <f>VLOOKUP($N150,'2 CODIFICATION'!$G$5:$L$71,4,FALSE)</f>
        <v>chges</v>
      </c>
      <c r="S150" s="53">
        <f>VLOOKUP($N150,'2 CODIFICATION'!$G$5:$L$71,5,FALSE)</f>
        <v>62</v>
      </c>
      <c r="T150" s="11" t="str">
        <f>VLOOKUP($N150,'2 CODIFICATION'!$G$5:$L$71,6,FALSE)</f>
        <v>Autres services extérieurs</v>
      </c>
    </row>
    <row r="151" spans="1:20" ht="14.5" hidden="1" customHeight="1">
      <c r="A151" s="61" t="s">
        <v>170</v>
      </c>
      <c r="B151" s="171" t="s">
        <v>79</v>
      </c>
      <c r="C151" s="169">
        <v>675349</v>
      </c>
      <c r="D151" s="170">
        <v>44497</v>
      </c>
      <c r="E151" s="168" t="s">
        <v>323</v>
      </c>
      <c r="F151" s="242" t="s">
        <v>255</v>
      </c>
      <c r="G151" s="166"/>
      <c r="H151" s="228">
        <v>707.32</v>
      </c>
      <c r="I151" s="66">
        <f t="shared" si="11"/>
        <v>1740.8200000000033</v>
      </c>
      <c r="J151" s="163" t="s">
        <v>198</v>
      </c>
      <c r="K151" s="104">
        <v>6256</v>
      </c>
      <c r="L151" s="74" t="str">
        <f>VLOOKUP($J151,'2 CODIFICATION'!A$5:B$17,2,"FAUX")</f>
        <v>HYGIENE MENSTRUELLE</v>
      </c>
      <c r="M151" s="74" t="str">
        <f>VLOOKUP($K151,'2 CODIFICATION'!D$8:E$64,2,"FAUX")</f>
        <v>Frais de mission</v>
      </c>
      <c r="N151" s="45">
        <f t="shared" si="14"/>
        <v>625600</v>
      </c>
      <c r="O151" s="14">
        <f t="shared" si="12"/>
        <v>-707.32</v>
      </c>
      <c r="P151" s="84">
        <f t="shared" si="13"/>
        <v>2021</v>
      </c>
      <c r="Q151" s="11" t="str">
        <f>VLOOKUP($N151,'2 CODIFICATION'!$G$5:$L$71,3,FALSE)</f>
        <v>Missions et manifestations</v>
      </c>
      <c r="R151" s="53" t="str">
        <f>VLOOKUP($N151,'2 CODIFICATION'!$G$5:$L$71,4,FALSE)</f>
        <v>chges</v>
      </c>
      <c r="S151" s="53">
        <f>VLOOKUP($N151,'2 CODIFICATION'!$G$5:$L$71,5,FALSE)</f>
        <v>62</v>
      </c>
      <c r="T151" s="11" t="str">
        <f>VLOOKUP($N151,'2 CODIFICATION'!$G$5:$L$71,6,FALSE)</f>
        <v>Autres services extérieurs</v>
      </c>
    </row>
    <row r="152" spans="1:20" ht="14.5" hidden="1" customHeight="1">
      <c r="A152" s="171" t="s">
        <v>170</v>
      </c>
      <c r="B152" s="171" t="s">
        <v>79</v>
      </c>
      <c r="C152" s="111"/>
      <c r="D152" s="112">
        <v>44501</v>
      </c>
      <c r="E152" s="168" t="s">
        <v>342</v>
      </c>
      <c r="F152" s="17"/>
      <c r="G152" s="113"/>
      <c r="H152" s="229">
        <v>200</v>
      </c>
      <c r="I152" s="66">
        <f t="shared" si="11"/>
        <v>1540.8200000000033</v>
      </c>
      <c r="J152" s="163" t="s">
        <v>232</v>
      </c>
      <c r="K152" s="104">
        <v>6071</v>
      </c>
      <c r="L152" s="74" t="str">
        <f>VLOOKUP($J152,'2 CODIFICATION'!A$5:B$17,2,"FAUX")</f>
        <v>DASSOUTE TEUILLAC CONST ECOLE</v>
      </c>
      <c r="M152" s="74" t="str">
        <f>VLOOKUP($K152,'2 CODIFICATION'!D$8:E$64,2,"FAUX")</f>
        <v>Achats fournitures et matériels</v>
      </c>
      <c r="N152" s="45">
        <f t="shared" si="14"/>
        <v>607100</v>
      </c>
      <c r="O152" s="14">
        <f t="shared" si="12"/>
        <v>-200</v>
      </c>
      <c r="P152" s="84">
        <f t="shared" si="13"/>
        <v>2021</v>
      </c>
      <c r="Q152" s="11" t="str">
        <f>VLOOKUP($N152,'2 CODIFICATION'!$G$5:$L$71,3,FALSE)</f>
        <v>Achats fournitures et matériels</v>
      </c>
      <c r="R152" s="53" t="str">
        <f>VLOOKUP($N152,'2 CODIFICATION'!$G$5:$L$71,4,FALSE)</f>
        <v>chges</v>
      </c>
      <c r="S152" s="53">
        <f>VLOOKUP($N152,'2 CODIFICATION'!$G$5:$L$71,5,FALSE)</f>
        <v>60</v>
      </c>
      <c r="T152" s="11" t="str">
        <f>VLOOKUP($N152,'2 CODIFICATION'!$G$5:$L$71,6,FALSE)</f>
        <v>Services extérieurs</v>
      </c>
    </row>
    <row r="153" spans="1:20" ht="14.5" hidden="1" customHeight="1">
      <c r="A153" s="171" t="s">
        <v>170</v>
      </c>
      <c r="B153" s="171" t="s">
        <v>79</v>
      </c>
      <c r="C153" s="111"/>
      <c r="D153" s="112">
        <v>44501</v>
      </c>
      <c r="E153" s="168" t="s">
        <v>280</v>
      </c>
      <c r="F153" s="17"/>
      <c r="G153" s="113"/>
      <c r="H153" s="229">
        <v>3.9</v>
      </c>
      <c r="I153" s="66">
        <f t="shared" si="11"/>
        <v>1536.9200000000033</v>
      </c>
      <c r="J153" s="163" t="s">
        <v>232</v>
      </c>
      <c r="K153" s="104">
        <v>6270</v>
      </c>
      <c r="L153" s="74" t="str">
        <f>VLOOKUP($J153,'2 CODIFICATION'!A$5:B$17,2,"FAUX")</f>
        <v>DASSOUTE TEUILLAC CONST ECOLE</v>
      </c>
      <c r="M153" s="74" t="str">
        <f>VLOOKUP($K153,'2 CODIFICATION'!D$8:E$64,2,"FAUX")</f>
        <v>Frais de banque</v>
      </c>
      <c r="N153" s="45">
        <f t="shared" si="14"/>
        <v>627000</v>
      </c>
      <c r="O153" s="14">
        <f t="shared" si="12"/>
        <v>-3.9</v>
      </c>
      <c r="P153" s="84">
        <f t="shared" si="13"/>
        <v>2021</v>
      </c>
      <c r="Q153" s="11" t="str">
        <f>VLOOKUP($N153,'2 CODIFICATION'!$G$5:$L$71,3,FALSE)</f>
        <v>Frais bancaires</v>
      </c>
      <c r="R153" s="53" t="str">
        <f>VLOOKUP($N153,'2 CODIFICATION'!$G$5:$L$71,4,FALSE)</f>
        <v>chges</v>
      </c>
      <c r="S153" s="53">
        <f>VLOOKUP($N153,'2 CODIFICATION'!$G$5:$L$71,5,FALSE)</f>
        <v>62</v>
      </c>
      <c r="T153" s="11" t="str">
        <f>VLOOKUP($N153,'2 CODIFICATION'!$G$5:$L$71,6,FALSE)</f>
        <v>Autres services extérieurs</v>
      </c>
    </row>
    <row r="154" spans="1:20" ht="14.5" hidden="1" customHeight="1">
      <c r="A154" s="61" t="s">
        <v>170</v>
      </c>
      <c r="B154" s="171" t="s">
        <v>79</v>
      </c>
      <c r="C154" s="169">
        <v>675350</v>
      </c>
      <c r="D154" s="170">
        <v>44506</v>
      </c>
      <c r="E154" s="168" t="s">
        <v>325</v>
      </c>
      <c r="F154" s="17"/>
      <c r="G154" s="166"/>
      <c r="H154" s="228">
        <v>26</v>
      </c>
      <c r="I154" s="66">
        <f t="shared" si="11"/>
        <v>1510.9200000000033</v>
      </c>
      <c r="J154" s="163" t="s">
        <v>273</v>
      </c>
      <c r="K154" s="104">
        <v>6064</v>
      </c>
      <c r="L154" s="74" t="str">
        <f>VLOOKUP($J154,'2 CODIFICATION'!A$5:B$17,2,"FAUX")</f>
        <v>ADMINIST ET FONCT</v>
      </c>
      <c r="M154" s="74" t="str">
        <f>VLOOKUP($K154,'2 CODIFICATION'!D$8:E$64,2,"FAUX")</f>
        <v>Frais de fonctionnement et fourniture</v>
      </c>
      <c r="N154" s="45">
        <f t="shared" si="14"/>
        <v>606400</v>
      </c>
      <c r="O154" s="14">
        <f t="shared" si="12"/>
        <v>-26</v>
      </c>
      <c r="P154" s="84">
        <f t="shared" si="13"/>
        <v>2021</v>
      </c>
      <c r="Q154" s="11" t="str">
        <f>VLOOKUP($N154,'2 CODIFICATION'!$G$5:$L$71,3,FALSE)</f>
        <v>Fournitures administratives</v>
      </c>
      <c r="R154" s="53" t="str">
        <f>VLOOKUP($N154,'2 CODIFICATION'!$G$5:$L$71,4,FALSE)</f>
        <v>chges</v>
      </c>
      <c r="S154" s="53">
        <f>VLOOKUP($N154,'2 CODIFICATION'!$G$5:$L$71,5,FALSE)</f>
        <v>60</v>
      </c>
      <c r="T154" s="11" t="str">
        <f>VLOOKUP($N154,'2 CODIFICATION'!$G$5:$L$71,6,FALSE)</f>
        <v>Achat</v>
      </c>
    </row>
    <row r="155" spans="1:20" ht="14.5" hidden="1" customHeight="1">
      <c r="A155" s="61" t="s">
        <v>170</v>
      </c>
      <c r="B155" s="171" t="s">
        <v>79</v>
      </c>
      <c r="C155" s="169">
        <v>675351</v>
      </c>
      <c r="D155" s="170">
        <v>44507</v>
      </c>
      <c r="E155" s="168" t="s">
        <v>326</v>
      </c>
      <c r="F155" s="173" t="s">
        <v>337</v>
      </c>
      <c r="G155" s="166"/>
      <c r="H155" s="228">
        <v>24.5</v>
      </c>
      <c r="I155" s="66">
        <f t="shared" si="11"/>
        <v>1486.4200000000033</v>
      </c>
      <c r="J155" s="74" t="s">
        <v>306</v>
      </c>
      <c r="K155" s="104">
        <v>6068</v>
      </c>
      <c r="L155" s="74" t="str">
        <f>VLOOKUP($J155,'2 CODIFICATION'!A$5:B$17,2,"FAUX")</f>
        <v>DASSOUTE TEUILLAC CANTINE</v>
      </c>
      <c r="M155" s="74" t="str">
        <f>VLOOKUP($K155,'2 CODIFICATION'!D$8:E$64,2,"FAUX")</f>
        <v>Autres matières et fournitures</v>
      </c>
      <c r="N155" s="45">
        <f t="shared" si="14"/>
        <v>606800</v>
      </c>
      <c r="O155" s="14">
        <f t="shared" si="12"/>
        <v>-24.5</v>
      </c>
      <c r="P155" s="84">
        <f t="shared" si="13"/>
        <v>2021</v>
      </c>
      <c r="Q155" s="11" t="str">
        <f>VLOOKUP($N155,'2 CODIFICATION'!$G$5:$L$71,3,FALSE)</f>
        <v>Autres matières et fournitures</v>
      </c>
      <c r="R155" s="53" t="str">
        <f>VLOOKUP($N155,'2 CODIFICATION'!$G$5:$L$71,4,FALSE)</f>
        <v>chges</v>
      </c>
      <c r="S155" s="53">
        <f>VLOOKUP($N155,'2 CODIFICATION'!$G$5:$L$71,5,FALSE)</f>
        <v>60</v>
      </c>
      <c r="T155" s="11" t="str">
        <f>VLOOKUP($N155,'2 CODIFICATION'!$G$5:$L$71,6,FALSE)</f>
        <v>Achat</v>
      </c>
    </row>
    <row r="156" spans="1:20" ht="14.5" hidden="1" customHeight="1">
      <c r="A156" s="61" t="s">
        <v>170</v>
      </c>
      <c r="B156" s="171" t="s">
        <v>79</v>
      </c>
      <c r="C156" s="169" t="s">
        <v>334</v>
      </c>
      <c r="D156" s="170">
        <v>44509</v>
      </c>
      <c r="E156" s="168" t="s">
        <v>327</v>
      </c>
      <c r="F156" s="17"/>
      <c r="G156" s="228">
        <v>30</v>
      </c>
      <c r="H156" s="167"/>
      <c r="I156" s="66">
        <f t="shared" si="11"/>
        <v>1516.4200000000033</v>
      </c>
      <c r="J156" s="163" t="s">
        <v>273</v>
      </c>
      <c r="K156" s="104">
        <v>7581</v>
      </c>
      <c r="L156" s="74" t="str">
        <f>VLOOKUP($J156,'2 CODIFICATION'!A$5:B$17,2,"FAUX")</f>
        <v>ADMINIST ET FONCT</v>
      </c>
      <c r="M156" s="74" t="str">
        <f>VLOOKUP($K156,'2 CODIFICATION'!D$8:E$64,2,"FAUX")</f>
        <v>Adhésions association</v>
      </c>
      <c r="N156" s="45">
        <f t="shared" si="14"/>
        <v>758100</v>
      </c>
      <c r="O156" s="14">
        <f t="shared" si="12"/>
        <v>30</v>
      </c>
      <c r="P156" s="84">
        <f t="shared" si="13"/>
        <v>2021</v>
      </c>
      <c r="Q156" s="11" t="str">
        <f>VLOOKUP($N156,'2 CODIFICATION'!$G$5:$L$71,3,FALSE)</f>
        <v>Cotisations individuelles et associatives</v>
      </c>
      <c r="R156" s="53" t="str">
        <f>VLOOKUP($N156,'2 CODIFICATION'!$G$5:$L$71,4,FALSE)</f>
        <v>pdts</v>
      </c>
      <c r="S156" s="53">
        <f>VLOOKUP($N156,'2 CODIFICATION'!$G$5:$L$71,5,FALSE)</f>
        <v>75</v>
      </c>
      <c r="T156" s="11" t="str">
        <f>VLOOKUP($N156,'2 CODIFICATION'!$G$5:$L$71,6,FALSE)</f>
        <v>Autres produits de gestion courante</v>
      </c>
    </row>
    <row r="157" spans="1:20" ht="14.5" hidden="1" customHeight="1">
      <c r="A157" s="61" t="s">
        <v>170</v>
      </c>
      <c r="B157" s="171" t="s">
        <v>79</v>
      </c>
      <c r="C157" s="169" t="s">
        <v>335</v>
      </c>
      <c r="D157" s="170">
        <v>44509</v>
      </c>
      <c r="E157" s="168" t="s">
        <v>328</v>
      </c>
      <c r="F157" s="17"/>
      <c r="G157" s="228">
        <v>50</v>
      </c>
      <c r="H157" s="167"/>
      <c r="I157" s="66">
        <f t="shared" si="11"/>
        <v>1566.4200000000033</v>
      </c>
      <c r="J157" s="163" t="s">
        <v>273</v>
      </c>
      <c r="K157" s="104">
        <v>7581</v>
      </c>
      <c r="L157" s="74" t="str">
        <f>VLOOKUP($J157,'2 CODIFICATION'!A$5:B$17,2,"FAUX")</f>
        <v>ADMINIST ET FONCT</v>
      </c>
      <c r="M157" s="74" t="str">
        <f>VLOOKUP($K157,'2 CODIFICATION'!D$8:E$64,2,"FAUX")</f>
        <v>Adhésions association</v>
      </c>
      <c r="N157" s="45">
        <f t="shared" si="14"/>
        <v>758100</v>
      </c>
      <c r="O157" s="14">
        <f t="shared" si="12"/>
        <v>50</v>
      </c>
      <c r="P157" s="84">
        <f t="shared" si="13"/>
        <v>2021</v>
      </c>
      <c r="Q157" s="11" t="str">
        <f>VLOOKUP($N157,'2 CODIFICATION'!$G$5:$L$71,3,FALSE)</f>
        <v>Cotisations individuelles et associatives</v>
      </c>
      <c r="R157" s="53" t="str">
        <f>VLOOKUP($N157,'2 CODIFICATION'!$G$5:$L$71,4,FALSE)</f>
        <v>pdts</v>
      </c>
      <c r="S157" s="53">
        <f>VLOOKUP($N157,'2 CODIFICATION'!$G$5:$L$71,5,FALSE)</f>
        <v>75</v>
      </c>
      <c r="T157" s="11" t="str">
        <f>VLOOKUP($N157,'2 CODIFICATION'!$G$5:$L$71,6,FALSE)</f>
        <v>Autres produits de gestion courante</v>
      </c>
    </row>
    <row r="158" spans="1:20" ht="14.5" hidden="1" customHeight="1">
      <c r="A158" s="61" t="s">
        <v>170</v>
      </c>
      <c r="B158" s="171" t="s">
        <v>79</v>
      </c>
      <c r="C158" s="169">
        <v>573419</v>
      </c>
      <c r="D158" s="170">
        <v>44509</v>
      </c>
      <c r="E158" s="168" t="s">
        <v>329</v>
      </c>
      <c r="F158" s="17"/>
      <c r="G158" s="228">
        <v>50</v>
      </c>
      <c r="H158" s="167"/>
      <c r="I158" s="66">
        <f t="shared" si="11"/>
        <v>1616.4200000000033</v>
      </c>
      <c r="J158" s="163" t="s">
        <v>273</v>
      </c>
      <c r="K158" s="104">
        <v>7581</v>
      </c>
      <c r="L158" s="74" t="str">
        <f>VLOOKUP($J158,'2 CODIFICATION'!A$5:B$17,2,"FAUX")</f>
        <v>ADMINIST ET FONCT</v>
      </c>
      <c r="M158" s="74" t="str">
        <f>VLOOKUP($K158,'2 CODIFICATION'!D$8:E$64,2,"FAUX")</f>
        <v>Adhésions association</v>
      </c>
      <c r="N158" s="45">
        <f t="shared" si="14"/>
        <v>758100</v>
      </c>
      <c r="O158" s="14">
        <f t="shared" si="12"/>
        <v>50</v>
      </c>
      <c r="P158" s="84">
        <f t="shared" si="13"/>
        <v>2021</v>
      </c>
      <c r="Q158" s="11" t="str">
        <f>VLOOKUP($N158,'2 CODIFICATION'!$G$5:$L$71,3,FALSE)</f>
        <v>Cotisations individuelles et associatives</v>
      </c>
      <c r="R158" s="53" t="str">
        <f>VLOOKUP($N158,'2 CODIFICATION'!$G$5:$L$71,4,FALSE)</f>
        <v>pdts</v>
      </c>
      <c r="S158" s="53">
        <f>VLOOKUP($N158,'2 CODIFICATION'!$G$5:$L$71,5,FALSE)</f>
        <v>75</v>
      </c>
      <c r="T158" s="11" t="str">
        <f>VLOOKUP($N158,'2 CODIFICATION'!$G$5:$L$71,6,FALSE)</f>
        <v>Autres produits de gestion courante</v>
      </c>
    </row>
    <row r="159" spans="1:20" ht="14.5" hidden="1" customHeight="1">
      <c r="A159" s="61" t="s">
        <v>170</v>
      </c>
      <c r="B159" s="171" t="s">
        <v>79</v>
      </c>
      <c r="C159" s="169">
        <v>1500</v>
      </c>
      <c r="D159" s="170">
        <v>44511</v>
      </c>
      <c r="E159" s="168" t="s">
        <v>330</v>
      </c>
      <c r="F159" s="17"/>
      <c r="G159" s="228">
        <v>40</v>
      </c>
      <c r="H159" s="167"/>
      <c r="I159" s="66">
        <f t="shared" si="11"/>
        <v>1656.4200000000033</v>
      </c>
      <c r="J159" s="163" t="s">
        <v>273</v>
      </c>
      <c r="K159" s="104">
        <v>7581</v>
      </c>
      <c r="L159" s="74" t="str">
        <f>VLOOKUP($J159,'2 CODIFICATION'!A$5:B$17,2,"FAUX")</f>
        <v>ADMINIST ET FONCT</v>
      </c>
      <c r="M159" s="74" t="str">
        <f>VLOOKUP($K159,'2 CODIFICATION'!D$8:E$64,2,"FAUX")</f>
        <v>Adhésions association</v>
      </c>
      <c r="N159" s="45">
        <f t="shared" si="14"/>
        <v>758100</v>
      </c>
      <c r="O159" s="14">
        <f t="shared" si="12"/>
        <v>40</v>
      </c>
      <c r="P159" s="84">
        <f t="shared" si="13"/>
        <v>2021</v>
      </c>
      <c r="Q159" s="11" t="str">
        <f>VLOOKUP($N159,'2 CODIFICATION'!$G$5:$L$71,3,FALSE)</f>
        <v>Cotisations individuelles et associatives</v>
      </c>
      <c r="R159" s="53" t="str">
        <f>VLOOKUP($N159,'2 CODIFICATION'!$G$5:$L$71,4,FALSE)</f>
        <v>pdts</v>
      </c>
      <c r="S159" s="53">
        <f>VLOOKUP($N159,'2 CODIFICATION'!$G$5:$L$71,5,FALSE)</f>
        <v>75</v>
      </c>
      <c r="T159" s="11" t="str">
        <f>VLOOKUP($N159,'2 CODIFICATION'!$G$5:$L$71,6,FALSE)</f>
        <v>Autres produits de gestion courante</v>
      </c>
    </row>
    <row r="160" spans="1:20" ht="14.5" hidden="1" customHeight="1">
      <c r="A160" s="61" t="s">
        <v>170</v>
      </c>
      <c r="B160" s="171" t="s">
        <v>79</v>
      </c>
      <c r="C160" s="169">
        <v>3208664</v>
      </c>
      <c r="D160" s="170">
        <v>44511</v>
      </c>
      <c r="E160" s="168" t="s">
        <v>331</v>
      </c>
      <c r="F160" s="17"/>
      <c r="G160" s="228">
        <v>80</v>
      </c>
      <c r="H160" s="167"/>
      <c r="I160" s="66">
        <f t="shared" si="11"/>
        <v>1736.4200000000033</v>
      </c>
      <c r="J160" s="163" t="s">
        <v>232</v>
      </c>
      <c r="K160" s="104">
        <v>7771</v>
      </c>
      <c r="L160" s="74" t="str">
        <f>VLOOKUP($J160,'2 CODIFICATION'!A$5:B$17,2,"FAUX")</f>
        <v>DASSOUTE TEUILLAC CONST ECOLE</v>
      </c>
      <c r="M160" s="74" t="str">
        <f>VLOOKUP($K160,'2 CODIFICATION'!D$8:E$64,2,"FAUX")</f>
        <v>Dons et participations à l"association</v>
      </c>
      <c r="N160" s="45">
        <f t="shared" si="14"/>
        <v>777100</v>
      </c>
      <c r="O160" s="14">
        <f t="shared" si="12"/>
        <v>80</v>
      </c>
      <c r="P160" s="84">
        <f t="shared" si="13"/>
        <v>2021</v>
      </c>
      <c r="Q160" s="11" t="str">
        <f>VLOOKUP($N160,'2 CODIFICATION'!$G$5:$L$71,3,FALSE)</f>
        <v>Dons et autres mises à dispositions gratuites</v>
      </c>
      <c r="R160" s="53" t="str">
        <f>VLOOKUP($N160,'2 CODIFICATION'!$G$5:$L$71,4,FALSE)</f>
        <v>pdts</v>
      </c>
      <c r="S160" s="53">
        <f>VLOOKUP($N160,'2 CODIFICATION'!$G$5:$L$71,5,FALSE)</f>
        <v>77</v>
      </c>
      <c r="T160" s="11" t="str">
        <f>VLOOKUP($N160,'2 CODIFICATION'!$G$5:$L$71,6,FALSE)</f>
        <v>Produits exceptionnels</v>
      </c>
    </row>
    <row r="161" spans="1:20" ht="14.5" hidden="1" customHeight="1">
      <c r="A161" s="61" t="s">
        <v>170</v>
      </c>
      <c r="B161" s="171" t="s">
        <v>79</v>
      </c>
      <c r="C161" s="169">
        <v>428</v>
      </c>
      <c r="D161" s="170">
        <v>44511</v>
      </c>
      <c r="E161" s="168" t="s">
        <v>332</v>
      </c>
      <c r="F161" s="17"/>
      <c r="G161" s="228">
        <v>50</v>
      </c>
      <c r="H161" s="167"/>
      <c r="I161" s="66">
        <f t="shared" si="11"/>
        <v>1786.4200000000033</v>
      </c>
      <c r="J161" s="163" t="s">
        <v>232</v>
      </c>
      <c r="K161" s="104">
        <v>7771</v>
      </c>
      <c r="L161" s="74" t="str">
        <f>VLOOKUP($J161,'2 CODIFICATION'!A$5:B$17,2,"FAUX")</f>
        <v>DASSOUTE TEUILLAC CONST ECOLE</v>
      </c>
      <c r="M161" s="74" t="str">
        <f>VLOOKUP($K161,'2 CODIFICATION'!D$8:E$64,2,"FAUX")</f>
        <v>Dons et participations à l"association</v>
      </c>
      <c r="N161" s="45">
        <f t="shared" si="14"/>
        <v>777100</v>
      </c>
      <c r="O161" s="14">
        <f t="shared" si="12"/>
        <v>50</v>
      </c>
      <c r="P161" s="84">
        <f t="shared" si="13"/>
        <v>2021</v>
      </c>
      <c r="Q161" s="11" t="str">
        <f>VLOOKUP($N161,'2 CODIFICATION'!$G$5:$L$71,3,FALSE)</f>
        <v>Dons et autres mises à dispositions gratuites</v>
      </c>
      <c r="R161" s="53" t="str">
        <f>VLOOKUP($N161,'2 CODIFICATION'!$G$5:$L$71,4,FALSE)</f>
        <v>pdts</v>
      </c>
      <c r="S161" s="53">
        <f>VLOOKUP($N161,'2 CODIFICATION'!$G$5:$L$71,5,FALSE)</f>
        <v>77</v>
      </c>
      <c r="T161" s="11" t="str">
        <f>VLOOKUP($N161,'2 CODIFICATION'!$G$5:$L$71,6,FALSE)</f>
        <v>Produits exceptionnels</v>
      </c>
    </row>
    <row r="162" spans="1:20" ht="14.5" hidden="1" customHeight="1">
      <c r="A162" s="61" t="s">
        <v>170</v>
      </c>
      <c r="B162" s="171" t="s">
        <v>79</v>
      </c>
      <c r="C162" s="169">
        <v>32238</v>
      </c>
      <c r="D162" s="170">
        <v>44511</v>
      </c>
      <c r="E162" s="168" t="s">
        <v>333</v>
      </c>
      <c r="F162" s="17"/>
      <c r="G162" s="228">
        <v>50</v>
      </c>
      <c r="H162" s="167"/>
      <c r="I162" s="66">
        <f t="shared" si="11"/>
        <v>1836.4200000000033</v>
      </c>
      <c r="J162" s="163" t="s">
        <v>232</v>
      </c>
      <c r="K162" s="104">
        <v>7771</v>
      </c>
      <c r="L162" s="74" t="str">
        <f>VLOOKUP($J162,'2 CODIFICATION'!A$5:B$17,2,"FAUX")</f>
        <v>DASSOUTE TEUILLAC CONST ECOLE</v>
      </c>
      <c r="M162" s="74" t="str">
        <f>VLOOKUP($K162,'2 CODIFICATION'!D$8:E$64,2,"FAUX")</f>
        <v>Dons et participations à l"association</v>
      </c>
      <c r="N162" s="45">
        <f t="shared" si="14"/>
        <v>777100</v>
      </c>
      <c r="O162" s="14">
        <f t="shared" si="12"/>
        <v>50</v>
      </c>
      <c r="P162" s="84">
        <f t="shared" si="13"/>
        <v>2021</v>
      </c>
      <c r="Q162" s="11" t="str">
        <f>VLOOKUP($N162,'2 CODIFICATION'!$G$5:$L$71,3,FALSE)</f>
        <v>Dons et autres mises à dispositions gratuites</v>
      </c>
      <c r="R162" s="53" t="str">
        <f>VLOOKUP($N162,'2 CODIFICATION'!$G$5:$L$71,4,FALSE)</f>
        <v>pdts</v>
      </c>
      <c r="S162" s="53">
        <f>VLOOKUP($N162,'2 CODIFICATION'!$G$5:$L$71,5,FALSE)</f>
        <v>77</v>
      </c>
      <c r="T162" s="11" t="str">
        <f>VLOOKUP($N162,'2 CODIFICATION'!$G$5:$L$71,6,FALSE)</f>
        <v>Produits exceptionnels</v>
      </c>
    </row>
    <row r="163" spans="1:20" ht="14.5" hidden="1" customHeight="1">
      <c r="A163" s="61" t="s">
        <v>170</v>
      </c>
      <c r="B163" s="171" t="s">
        <v>79</v>
      </c>
      <c r="C163" s="169">
        <v>343</v>
      </c>
      <c r="D163" s="170">
        <v>44512</v>
      </c>
      <c r="E163" s="244" t="s">
        <v>401</v>
      </c>
      <c r="F163" s="197" t="s">
        <v>391</v>
      </c>
      <c r="G163" s="166"/>
      <c r="H163" s="228">
        <v>250</v>
      </c>
      <c r="I163" s="66">
        <f t="shared" si="11"/>
        <v>1586.4200000000033</v>
      </c>
      <c r="J163" s="163" t="s">
        <v>198</v>
      </c>
      <c r="K163" s="104">
        <v>6256</v>
      </c>
      <c r="L163" s="74" t="str">
        <f>VLOOKUP($J163,'2 CODIFICATION'!A$5:B$17,2,"FAUX")</f>
        <v>HYGIENE MENSTRUELLE</v>
      </c>
      <c r="M163" s="74" t="str">
        <f>VLOOKUP($K163,'2 CODIFICATION'!D$8:E$64,2,"FAUX")</f>
        <v>Frais de mission</v>
      </c>
      <c r="N163" s="45">
        <f t="shared" si="14"/>
        <v>625600</v>
      </c>
      <c r="O163" s="14">
        <f t="shared" si="12"/>
        <v>-250</v>
      </c>
      <c r="P163" s="84">
        <f t="shared" si="13"/>
        <v>2021</v>
      </c>
      <c r="Q163" s="11" t="str">
        <f>VLOOKUP($N163,'2 CODIFICATION'!$G$5:$L$71,3,FALSE)</f>
        <v>Missions et manifestations</v>
      </c>
      <c r="R163" s="53" t="str">
        <f>VLOOKUP($N163,'2 CODIFICATION'!$G$5:$L$71,4,FALSE)</f>
        <v>chges</v>
      </c>
      <c r="S163" s="53">
        <f>VLOOKUP($N163,'2 CODIFICATION'!$G$5:$L$71,5,FALSE)</f>
        <v>62</v>
      </c>
      <c r="T163" s="11" t="str">
        <f>VLOOKUP($N163,'2 CODIFICATION'!$G$5:$L$71,6,FALSE)</f>
        <v>Autres services extérieurs</v>
      </c>
    </row>
    <row r="164" spans="1:20" ht="14.5" hidden="1" customHeight="1">
      <c r="A164" s="201" t="s">
        <v>170</v>
      </c>
      <c r="B164" s="201" t="s">
        <v>79</v>
      </c>
      <c r="C164" s="198">
        <v>5928618</v>
      </c>
      <c r="D164" s="207">
        <v>44519</v>
      </c>
      <c r="E164" s="198" t="s">
        <v>343</v>
      </c>
      <c r="F164" s="199" t="s">
        <v>253</v>
      </c>
      <c r="G164" s="233">
        <v>500</v>
      </c>
      <c r="H164" s="221"/>
      <c r="I164" s="66">
        <f t="shared" si="11"/>
        <v>2086.4200000000033</v>
      </c>
      <c r="J164" s="241" t="s">
        <v>232</v>
      </c>
      <c r="K164" s="104">
        <v>7771</v>
      </c>
      <c r="L164" s="74" t="str">
        <f>VLOOKUP($J164,'2 CODIFICATION'!A$5:B$17,2,"FAUX")</f>
        <v>DASSOUTE TEUILLAC CONST ECOLE</v>
      </c>
      <c r="M164" s="74" t="str">
        <f>VLOOKUP($K164,'2 CODIFICATION'!D$8:E$64,2,"FAUX")</f>
        <v>Dons et participations à l"association</v>
      </c>
      <c r="N164" s="45">
        <f t="shared" ref="N164:N208" si="15">+K164*100</f>
        <v>777100</v>
      </c>
      <c r="O164" s="14">
        <f t="shared" ref="O164:O208" si="16">G164-H164</f>
        <v>500</v>
      </c>
      <c r="P164" s="84">
        <f t="shared" ref="P164:P208" si="17">YEAR(D164)</f>
        <v>2021</v>
      </c>
      <c r="Q164" s="11" t="str">
        <f>VLOOKUP($N164,'2 CODIFICATION'!$G$5:$L$71,3,FALSE)</f>
        <v>Dons et autres mises à dispositions gratuites</v>
      </c>
      <c r="R164" s="53" t="str">
        <f>VLOOKUP($N164,'2 CODIFICATION'!$G$5:$L$71,4,FALSE)</f>
        <v>pdts</v>
      </c>
      <c r="S164" s="53">
        <f>VLOOKUP($N164,'2 CODIFICATION'!$G$5:$L$71,5,FALSE)</f>
        <v>77</v>
      </c>
      <c r="T164" s="11" t="str">
        <f>VLOOKUP($N164,'2 CODIFICATION'!$G$5:$L$71,6,FALSE)</f>
        <v>Produits exceptionnels</v>
      </c>
    </row>
    <row r="165" spans="1:20" ht="14.5" hidden="1" customHeight="1">
      <c r="A165" s="201" t="s">
        <v>170</v>
      </c>
      <c r="B165" s="201" t="s">
        <v>79</v>
      </c>
      <c r="C165" s="198">
        <v>890538</v>
      </c>
      <c r="D165" s="207">
        <v>44510</v>
      </c>
      <c r="E165" s="198" t="s">
        <v>344</v>
      </c>
      <c r="F165" s="199" t="s">
        <v>253</v>
      </c>
      <c r="G165" s="233">
        <v>30</v>
      </c>
      <c r="H165" s="221"/>
      <c r="I165" s="66">
        <f t="shared" si="11"/>
        <v>2116.4200000000033</v>
      </c>
      <c r="J165" s="241" t="s">
        <v>232</v>
      </c>
      <c r="K165" s="104">
        <v>7771</v>
      </c>
      <c r="L165" s="74" t="str">
        <f>VLOOKUP($J165,'2 CODIFICATION'!A$5:B$17,2,"FAUX")</f>
        <v>DASSOUTE TEUILLAC CONST ECOLE</v>
      </c>
      <c r="M165" s="74" t="str">
        <f>VLOOKUP($K165,'2 CODIFICATION'!D$8:E$64,2,"FAUX")</f>
        <v>Dons et participations à l"association</v>
      </c>
      <c r="N165" s="45">
        <f t="shared" si="15"/>
        <v>777100</v>
      </c>
      <c r="O165" s="14">
        <f t="shared" si="16"/>
        <v>30</v>
      </c>
      <c r="P165" s="84">
        <f t="shared" si="17"/>
        <v>2021</v>
      </c>
      <c r="Q165" s="11" t="str">
        <f>VLOOKUP($N165,'2 CODIFICATION'!$G$5:$L$71,3,FALSE)</f>
        <v>Dons et autres mises à dispositions gratuites</v>
      </c>
      <c r="R165" s="53" t="str">
        <f>VLOOKUP($N165,'2 CODIFICATION'!$G$5:$L$71,4,FALSE)</f>
        <v>pdts</v>
      </c>
      <c r="S165" s="53">
        <f>VLOOKUP($N165,'2 CODIFICATION'!$G$5:$L$71,5,FALSE)</f>
        <v>77</v>
      </c>
      <c r="T165" s="11" t="str">
        <f>VLOOKUP($N165,'2 CODIFICATION'!$G$5:$L$71,6,FALSE)</f>
        <v>Produits exceptionnels</v>
      </c>
    </row>
    <row r="166" spans="1:20" ht="14.5" hidden="1" customHeight="1">
      <c r="A166" s="179" t="s">
        <v>170</v>
      </c>
      <c r="B166" s="179" t="s">
        <v>79</v>
      </c>
      <c r="C166" s="116">
        <v>675355</v>
      </c>
      <c r="D166" s="178">
        <v>44522</v>
      </c>
      <c r="E166" s="180" t="s">
        <v>346</v>
      </c>
      <c r="F166" s="181" t="s">
        <v>255</v>
      </c>
      <c r="G166" s="222"/>
      <c r="H166" s="223">
        <v>46.59</v>
      </c>
      <c r="I166" s="66">
        <f t="shared" si="11"/>
        <v>2069.8300000000031</v>
      </c>
      <c r="J166" s="163" t="s">
        <v>198</v>
      </c>
      <c r="K166" s="104">
        <v>6064</v>
      </c>
      <c r="L166" s="74" t="str">
        <f>VLOOKUP($J166,'2 CODIFICATION'!A$5:B$17,2,"FAUX")</f>
        <v>HYGIENE MENSTRUELLE</v>
      </c>
      <c r="M166" s="74" t="str">
        <f>VLOOKUP($K166,'2 CODIFICATION'!D$8:E$64,2,"FAUX")</f>
        <v>Frais de fonctionnement et fourniture</v>
      </c>
      <c r="N166" s="45">
        <f>+K166*100</f>
        <v>606400</v>
      </c>
      <c r="O166" s="14">
        <f>G166-H166</f>
        <v>-46.59</v>
      </c>
      <c r="P166" s="84">
        <f>YEAR(D166)</f>
        <v>2021</v>
      </c>
      <c r="Q166" s="11" t="str">
        <f>VLOOKUP($N166,'2 CODIFICATION'!$G$5:$L$71,3,FALSE)</f>
        <v>Fournitures administratives</v>
      </c>
      <c r="R166" s="53" t="str">
        <f>VLOOKUP($N166,'2 CODIFICATION'!$G$5:$L$71,4,FALSE)</f>
        <v>chges</v>
      </c>
      <c r="S166" s="53">
        <f>VLOOKUP($N166,'2 CODIFICATION'!$G$5:$L$71,5,FALSE)</f>
        <v>60</v>
      </c>
      <c r="T166" s="11" t="str">
        <f>VLOOKUP($N166,'2 CODIFICATION'!$G$5:$L$71,6,FALSE)</f>
        <v>Achat</v>
      </c>
    </row>
    <row r="167" spans="1:20" ht="14.5" hidden="1" customHeight="1">
      <c r="A167" s="179" t="s">
        <v>170</v>
      </c>
      <c r="B167" s="179" t="s">
        <v>79</v>
      </c>
      <c r="C167" s="116">
        <v>675353</v>
      </c>
      <c r="D167" s="182">
        <v>44517</v>
      </c>
      <c r="E167" s="180" t="s">
        <v>345</v>
      </c>
      <c r="F167" s="181" t="s">
        <v>255</v>
      </c>
      <c r="G167" s="222"/>
      <c r="H167" s="223">
        <v>66.64</v>
      </c>
      <c r="I167" s="66">
        <f t="shared" si="11"/>
        <v>2003.190000000003</v>
      </c>
      <c r="J167" s="163" t="s">
        <v>198</v>
      </c>
      <c r="K167" s="104">
        <v>6064</v>
      </c>
      <c r="L167" s="74" t="str">
        <f>VLOOKUP($J167,'2 CODIFICATION'!A$5:B$17,2,"FAUX")</f>
        <v>HYGIENE MENSTRUELLE</v>
      </c>
      <c r="M167" s="74" t="str">
        <f>VLOOKUP($K167,'2 CODIFICATION'!D$8:E$64,2,"FAUX")</f>
        <v>Frais de fonctionnement et fourniture</v>
      </c>
      <c r="N167" s="45">
        <f t="shared" si="15"/>
        <v>606400</v>
      </c>
      <c r="O167" s="14">
        <f t="shared" si="16"/>
        <v>-66.64</v>
      </c>
      <c r="P167" s="84">
        <f t="shared" si="17"/>
        <v>2021</v>
      </c>
      <c r="Q167" s="11" t="str">
        <f>VLOOKUP($N167,'2 CODIFICATION'!$G$5:$L$71,3,FALSE)</f>
        <v>Fournitures administratives</v>
      </c>
      <c r="R167" s="53" t="str">
        <f>VLOOKUP($N167,'2 CODIFICATION'!$G$5:$L$71,4,FALSE)</f>
        <v>chges</v>
      </c>
      <c r="S167" s="53">
        <f>VLOOKUP($N167,'2 CODIFICATION'!$G$5:$L$71,5,FALSE)</f>
        <v>60</v>
      </c>
      <c r="T167" s="11" t="str">
        <f>VLOOKUP($N167,'2 CODIFICATION'!$G$5:$L$71,6,FALSE)</f>
        <v>Achat</v>
      </c>
    </row>
    <row r="168" spans="1:20" ht="14.5" hidden="1" customHeight="1">
      <c r="A168" s="179" t="s">
        <v>170</v>
      </c>
      <c r="B168" s="179" t="s">
        <v>79</v>
      </c>
      <c r="C168" s="180" t="s">
        <v>347</v>
      </c>
      <c r="D168" s="182">
        <v>44517</v>
      </c>
      <c r="E168" s="180" t="s">
        <v>348</v>
      </c>
      <c r="F168" s="185" t="s">
        <v>336</v>
      </c>
      <c r="G168" s="222"/>
      <c r="H168" s="223">
        <v>11.92</v>
      </c>
      <c r="I168" s="66">
        <f t="shared" si="11"/>
        <v>1991.2700000000029</v>
      </c>
      <c r="J168" s="74" t="s">
        <v>306</v>
      </c>
      <c r="K168" s="104">
        <v>6068</v>
      </c>
      <c r="L168" s="74" t="str">
        <f>VLOOKUP($J168,'2 CODIFICATION'!A$5:B$17,2,"FAUX")</f>
        <v>DASSOUTE TEUILLAC CANTINE</v>
      </c>
      <c r="M168" s="74" t="str">
        <f>VLOOKUP($K168,'2 CODIFICATION'!D$8:E$64,2,"FAUX")</f>
        <v>Autres matières et fournitures</v>
      </c>
      <c r="N168" s="45">
        <f t="shared" si="15"/>
        <v>606800</v>
      </c>
      <c r="O168" s="14">
        <f t="shared" si="16"/>
        <v>-11.92</v>
      </c>
      <c r="P168" s="84">
        <f t="shared" si="17"/>
        <v>2021</v>
      </c>
      <c r="Q168" s="11" t="str">
        <f>VLOOKUP($N168,'2 CODIFICATION'!$G$5:$L$71,3,FALSE)</f>
        <v>Autres matières et fournitures</v>
      </c>
      <c r="R168" s="53" t="str">
        <f>VLOOKUP($N168,'2 CODIFICATION'!$G$5:$L$71,4,FALSE)</f>
        <v>chges</v>
      </c>
      <c r="S168" s="53">
        <f>VLOOKUP($N168,'2 CODIFICATION'!$G$5:$L$71,5,FALSE)</f>
        <v>60</v>
      </c>
      <c r="T168" s="11" t="str">
        <f>VLOOKUP($N168,'2 CODIFICATION'!$G$5:$L$71,6,FALSE)</f>
        <v>Achat</v>
      </c>
    </row>
    <row r="169" spans="1:20" ht="14.5" hidden="1" customHeight="1">
      <c r="A169" s="179" t="s">
        <v>170</v>
      </c>
      <c r="B169" s="179" t="s">
        <v>79</v>
      </c>
      <c r="C169" s="116">
        <v>675356</v>
      </c>
      <c r="D169" s="182">
        <v>44532</v>
      </c>
      <c r="E169" s="183" t="s">
        <v>349</v>
      </c>
      <c r="F169" s="185" t="s">
        <v>223</v>
      </c>
      <c r="G169" s="222"/>
      <c r="H169" s="223">
        <v>111.67</v>
      </c>
      <c r="I169" s="66">
        <f t="shared" ref="I169:I220" si="18">G169-H169+I168</f>
        <v>1879.6000000000029</v>
      </c>
      <c r="J169" s="163" t="s">
        <v>273</v>
      </c>
      <c r="K169" s="104">
        <v>6160</v>
      </c>
      <c r="L169" s="74" t="str">
        <f>VLOOKUP($J169,'2 CODIFICATION'!A$5:B$17,2,"FAUX")</f>
        <v>ADMINIST ET FONCT</v>
      </c>
      <c r="M169" s="74" t="str">
        <f>VLOOKUP($K169,'2 CODIFICATION'!D$8:E$64,2,"FAUX")</f>
        <v>Assurance RC</v>
      </c>
      <c r="N169" s="45">
        <f t="shared" si="15"/>
        <v>616000</v>
      </c>
      <c r="O169" s="14">
        <f t="shared" si="16"/>
        <v>-111.67</v>
      </c>
      <c r="P169" s="84">
        <f t="shared" si="17"/>
        <v>2021</v>
      </c>
      <c r="Q169" s="11" t="str">
        <f>VLOOKUP($N169,'2 CODIFICATION'!$G$5:$L$71,3,FALSE)</f>
        <v>Primes d'assurance</v>
      </c>
      <c r="R169" s="53" t="str">
        <f>VLOOKUP($N169,'2 CODIFICATION'!$G$5:$L$71,4,FALSE)</f>
        <v>chges</v>
      </c>
      <c r="S169" s="53">
        <f>VLOOKUP($N169,'2 CODIFICATION'!$G$5:$L$71,5,FALSE)</f>
        <v>61</v>
      </c>
      <c r="T169" s="11" t="str">
        <f>VLOOKUP($N169,'2 CODIFICATION'!$G$5:$L$71,6,FALSE)</f>
        <v>Services extérieurs</v>
      </c>
    </row>
    <row r="170" spans="1:20" ht="14.5" hidden="1" customHeight="1">
      <c r="A170" s="184" t="s">
        <v>170</v>
      </c>
      <c r="B170" s="184" t="s">
        <v>79</v>
      </c>
      <c r="C170" s="116">
        <v>3075941</v>
      </c>
      <c r="D170" s="182">
        <v>44531</v>
      </c>
      <c r="E170" s="183" t="s">
        <v>351</v>
      </c>
      <c r="F170" s="185" t="s">
        <v>350</v>
      </c>
      <c r="G170" s="222"/>
      <c r="H170" s="223">
        <v>80.94</v>
      </c>
      <c r="I170" s="66">
        <f t="shared" si="18"/>
        <v>1798.6600000000028</v>
      </c>
      <c r="J170" s="74" t="s">
        <v>306</v>
      </c>
      <c r="K170" s="104">
        <v>6068</v>
      </c>
      <c r="L170" s="74" t="str">
        <f>VLOOKUP($J170,'2 CODIFICATION'!A$5:B$17,2,"FAUX")</f>
        <v>DASSOUTE TEUILLAC CANTINE</v>
      </c>
      <c r="M170" s="74" t="str">
        <f>VLOOKUP($K170,'2 CODIFICATION'!D$8:E$64,2,"FAUX")</f>
        <v>Autres matières et fournitures</v>
      </c>
      <c r="N170" s="45">
        <f t="shared" si="15"/>
        <v>606800</v>
      </c>
      <c r="O170" s="14">
        <f t="shared" si="16"/>
        <v>-80.94</v>
      </c>
      <c r="P170" s="84">
        <f t="shared" si="17"/>
        <v>2021</v>
      </c>
      <c r="Q170" s="11" t="str">
        <f>VLOOKUP($N170,'2 CODIFICATION'!$G$5:$L$71,3,FALSE)</f>
        <v>Autres matières et fournitures</v>
      </c>
      <c r="R170" s="53" t="str">
        <f>VLOOKUP($N170,'2 CODIFICATION'!$G$5:$L$71,4,FALSE)</f>
        <v>chges</v>
      </c>
      <c r="S170" s="53">
        <f>VLOOKUP($N170,'2 CODIFICATION'!$G$5:$L$71,5,FALSE)</f>
        <v>60</v>
      </c>
      <c r="T170" s="11" t="str">
        <f>VLOOKUP($N170,'2 CODIFICATION'!$G$5:$L$71,6,FALSE)</f>
        <v>Achat</v>
      </c>
    </row>
    <row r="171" spans="1:20" ht="14.5" hidden="1" customHeight="1">
      <c r="A171" s="186" t="s">
        <v>170</v>
      </c>
      <c r="B171" s="186" t="s">
        <v>79</v>
      </c>
      <c r="C171" s="116">
        <v>88293</v>
      </c>
      <c r="D171" s="182">
        <v>44526</v>
      </c>
      <c r="E171" s="183" t="s">
        <v>351</v>
      </c>
      <c r="F171" s="185" t="s">
        <v>352</v>
      </c>
      <c r="G171" s="222"/>
      <c r="H171" s="223">
        <v>65.45</v>
      </c>
      <c r="I171" s="66">
        <f t="shared" si="18"/>
        <v>1733.2100000000028</v>
      </c>
      <c r="J171" s="74" t="s">
        <v>306</v>
      </c>
      <c r="K171" s="104">
        <v>6068</v>
      </c>
      <c r="L171" s="74" t="str">
        <f>VLOOKUP($J171,'2 CODIFICATION'!A$5:B$17,2,"FAUX")</f>
        <v>DASSOUTE TEUILLAC CANTINE</v>
      </c>
      <c r="M171" s="74" t="str">
        <f>VLOOKUP($K171,'2 CODIFICATION'!D$8:E$64,2,"FAUX")</f>
        <v>Autres matières et fournitures</v>
      </c>
      <c r="N171" s="45">
        <f t="shared" si="15"/>
        <v>606800</v>
      </c>
      <c r="O171" s="14">
        <f t="shared" si="16"/>
        <v>-65.45</v>
      </c>
      <c r="P171" s="84">
        <f t="shared" si="17"/>
        <v>2021</v>
      </c>
      <c r="Q171" s="11" t="str">
        <f>VLOOKUP($N171,'2 CODIFICATION'!$G$5:$L$71,3,FALSE)</f>
        <v>Autres matières et fournitures</v>
      </c>
      <c r="R171" s="53" t="str">
        <f>VLOOKUP($N171,'2 CODIFICATION'!$G$5:$L$71,4,FALSE)</f>
        <v>chges</v>
      </c>
      <c r="S171" s="53">
        <f>VLOOKUP($N171,'2 CODIFICATION'!$G$5:$L$71,5,FALSE)</f>
        <v>60</v>
      </c>
      <c r="T171" s="11" t="str">
        <f>VLOOKUP($N171,'2 CODIFICATION'!$G$5:$L$71,6,FALSE)</f>
        <v>Achat</v>
      </c>
    </row>
    <row r="172" spans="1:20" ht="14.5" hidden="1" customHeight="1">
      <c r="A172" s="186" t="s">
        <v>170</v>
      </c>
      <c r="B172" s="186" t="s">
        <v>79</v>
      </c>
      <c r="C172" s="116">
        <v>13430816220</v>
      </c>
      <c r="D172" s="182">
        <v>44539</v>
      </c>
      <c r="E172" s="187" t="s">
        <v>351</v>
      </c>
      <c r="F172" s="188" t="s">
        <v>353</v>
      </c>
      <c r="G172" s="222"/>
      <c r="H172" s="223">
        <v>163.77000000000001</v>
      </c>
      <c r="I172" s="66">
        <f t="shared" si="18"/>
        <v>1569.4400000000028</v>
      </c>
      <c r="J172" s="74" t="s">
        <v>306</v>
      </c>
      <c r="K172" s="104">
        <v>6068</v>
      </c>
      <c r="L172" s="74" t="str">
        <f>VLOOKUP($J172,'2 CODIFICATION'!A$5:B$17,2,"FAUX")</f>
        <v>DASSOUTE TEUILLAC CANTINE</v>
      </c>
      <c r="M172" s="74" t="str">
        <f>VLOOKUP($K172,'2 CODIFICATION'!D$8:E$64,2,"FAUX")</f>
        <v>Autres matières et fournitures</v>
      </c>
      <c r="N172" s="45">
        <f t="shared" si="15"/>
        <v>606800</v>
      </c>
      <c r="O172" s="14">
        <f t="shared" si="16"/>
        <v>-163.77000000000001</v>
      </c>
      <c r="P172" s="84">
        <f t="shared" si="17"/>
        <v>2021</v>
      </c>
      <c r="Q172" s="11" t="str">
        <f>VLOOKUP($N172,'2 CODIFICATION'!$G$5:$L$71,3,FALSE)</f>
        <v>Autres matières et fournitures</v>
      </c>
      <c r="R172" s="53" t="str">
        <f>VLOOKUP($N172,'2 CODIFICATION'!$G$5:$L$71,4,FALSE)</f>
        <v>chges</v>
      </c>
      <c r="S172" s="53">
        <f>VLOOKUP($N172,'2 CODIFICATION'!$G$5:$L$71,5,FALSE)</f>
        <v>60</v>
      </c>
      <c r="T172" s="11" t="str">
        <f>VLOOKUP($N172,'2 CODIFICATION'!$G$5:$L$71,6,FALSE)</f>
        <v>Achat</v>
      </c>
    </row>
    <row r="173" spans="1:20" ht="14.5" hidden="1" customHeight="1">
      <c r="A173" s="189" t="s">
        <v>170</v>
      </c>
      <c r="B173" s="189" t="s">
        <v>79</v>
      </c>
      <c r="C173" s="116">
        <v>260447</v>
      </c>
      <c r="D173" s="182">
        <v>44540</v>
      </c>
      <c r="E173" s="190" t="s">
        <v>358</v>
      </c>
      <c r="F173" s="191" t="s">
        <v>353</v>
      </c>
      <c r="G173" s="222"/>
      <c r="H173" s="223">
        <v>153.81</v>
      </c>
      <c r="I173" s="66">
        <f t="shared" si="18"/>
        <v>1415.6300000000028</v>
      </c>
      <c r="J173" s="74" t="s">
        <v>306</v>
      </c>
      <c r="K173" s="104">
        <v>6068</v>
      </c>
      <c r="L173" s="74" t="str">
        <f>VLOOKUP($J173,'2 CODIFICATION'!A$5:B$17,2,"FAUX")</f>
        <v>DASSOUTE TEUILLAC CANTINE</v>
      </c>
      <c r="M173" s="74" t="str">
        <f>VLOOKUP($K173,'2 CODIFICATION'!D$8:E$64,2,"FAUX")</f>
        <v>Autres matières et fournitures</v>
      </c>
      <c r="N173" s="45">
        <f t="shared" si="15"/>
        <v>606800</v>
      </c>
      <c r="O173" s="14">
        <f t="shared" si="16"/>
        <v>-153.81</v>
      </c>
      <c r="P173" s="84">
        <f t="shared" si="17"/>
        <v>2021</v>
      </c>
      <c r="Q173" s="11" t="str">
        <f>VLOOKUP($N173,'2 CODIFICATION'!$G$5:$L$71,3,FALSE)</f>
        <v>Autres matières et fournitures</v>
      </c>
      <c r="R173" s="53" t="str">
        <f>VLOOKUP($N173,'2 CODIFICATION'!$G$5:$L$71,4,FALSE)</f>
        <v>chges</v>
      </c>
      <c r="S173" s="53">
        <f>VLOOKUP($N173,'2 CODIFICATION'!$G$5:$L$71,5,FALSE)</f>
        <v>60</v>
      </c>
      <c r="T173" s="11" t="str">
        <f>VLOOKUP($N173,'2 CODIFICATION'!$G$5:$L$71,6,FALSE)</f>
        <v>Achat</v>
      </c>
    </row>
    <row r="174" spans="1:20" ht="14.5" hidden="1" customHeight="1">
      <c r="A174" s="189" t="s">
        <v>170</v>
      </c>
      <c r="B174" s="189" t="s">
        <v>79</v>
      </c>
      <c r="C174" s="190">
        <v>675360</v>
      </c>
      <c r="D174" s="182">
        <v>44543</v>
      </c>
      <c r="E174" s="190" t="s">
        <v>359</v>
      </c>
      <c r="F174" s="191" t="s">
        <v>357</v>
      </c>
      <c r="G174" s="222"/>
      <c r="H174" s="223">
        <v>315.89999999999998</v>
      </c>
      <c r="I174" s="66">
        <f t="shared" si="18"/>
        <v>1099.7300000000027</v>
      </c>
      <c r="J174" s="163" t="s">
        <v>306</v>
      </c>
      <c r="K174" s="104">
        <v>6110</v>
      </c>
      <c r="L174" s="74" t="str">
        <f>VLOOKUP($J174,'2 CODIFICATION'!A$5:B$17,2,"FAUX")</f>
        <v>DASSOUTE TEUILLAC CANTINE</v>
      </c>
      <c r="M174" s="74" t="str">
        <f>VLOOKUP($K174,'2 CODIFICATION'!D$8:E$64,2,"FAUX")</f>
        <v>Sous traitance projet</v>
      </c>
      <c r="N174" s="45">
        <f t="shared" si="15"/>
        <v>611000</v>
      </c>
      <c r="O174" s="14">
        <f t="shared" si="16"/>
        <v>-315.89999999999998</v>
      </c>
      <c r="P174" s="84">
        <f t="shared" si="17"/>
        <v>2021</v>
      </c>
      <c r="Q174" s="11" t="str">
        <f>VLOOKUP($N174,'2 CODIFICATION'!$G$5:$L$71,3,FALSE)</f>
        <v xml:space="preserve">Sous-traitance générale </v>
      </c>
      <c r="R174" s="53" t="str">
        <f>VLOOKUP($N174,'2 CODIFICATION'!$G$5:$L$71,4,FALSE)</f>
        <v>chges</v>
      </c>
      <c r="S174" s="53">
        <f>VLOOKUP($N174,'2 CODIFICATION'!$G$5:$L$71,5,FALSE)</f>
        <v>61</v>
      </c>
      <c r="T174" s="11" t="str">
        <f>VLOOKUP($N174,'2 CODIFICATION'!$G$5:$L$71,6,FALSE)</f>
        <v>Services extérieurs</v>
      </c>
    </row>
    <row r="175" spans="1:20" ht="14.5" hidden="1" customHeight="1">
      <c r="A175" s="189" t="s">
        <v>170</v>
      </c>
      <c r="B175" s="189" t="s">
        <v>79</v>
      </c>
      <c r="C175" s="116">
        <v>675363</v>
      </c>
      <c r="D175" s="182">
        <v>44543</v>
      </c>
      <c r="E175" s="190" t="s">
        <v>355</v>
      </c>
      <c r="F175" s="191" t="s">
        <v>354</v>
      </c>
      <c r="G175" s="222"/>
      <c r="H175" s="223">
        <v>300</v>
      </c>
      <c r="I175" s="66">
        <f t="shared" si="18"/>
        <v>799.73000000000275</v>
      </c>
      <c r="J175" s="163" t="s">
        <v>232</v>
      </c>
      <c r="K175" s="104">
        <v>6240</v>
      </c>
      <c r="L175" s="74" t="str">
        <f>VLOOKUP($J175,'2 CODIFICATION'!A$5:B$17,2,"FAUX")</f>
        <v>DASSOUTE TEUILLAC CONST ECOLE</v>
      </c>
      <c r="M175" s="74" t="str">
        <f>VLOOKUP($K175,'2 CODIFICATION'!D$8:E$64,2,"FAUX")</f>
        <v>Transports</v>
      </c>
      <c r="N175" s="45">
        <f t="shared" si="15"/>
        <v>624000</v>
      </c>
      <c r="O175" s="14">
        <f t="shared" si="16"/>
        <v>-300</v>
      </c>
      <c r="P175" s="84">
        <f t="shared" si="17"/>
        <v>2021</v>
      </c>
      <c r="Q175" s="11" t="str">
        <f>VLOOKUP($N175,'2 CODIFICATION'!$G$5:$L$71,3,FALSE)</f>
        <v>Transports</v>
      </c>
      <c r="R175" s="53" t="str">
        <f>VLOOKUP($N175,'2 CODIFICATION'!$G$5:$L$71,4,FALSE)</f>
        <v>chges</v>
      </c>
      <c r="S175" s="53">
        <f>VLOOKUP($N175,'2 CODIFICATION'!$G$5:$L$71,5,FALSE)</f>
        <v>62</v>
      </c>
      <c r="T175" s="11" t="str">
        <f>VLOOKUP($N175,'2 CODIFICATION'!$G$5:$L$71,6,FALSE)</f>
        <v>Charges de personnel</v>
      </c>
    </row>
    <row r="176" spans="1:20" ht="14.5" hidden="1" customHeight="1">
      <c r="A176" s="189" t="s">
        <v>170</v>
      </c>
      <c r="B176" s="189" t="s">
        <v>79</v>
      </c>
      <c r="C176" s="116">
        <v>675364</v>
      </c>
      <c r="D176" s="182">
        <v>44543</v>
      </c>
      <c r="E176" s="190" t="s">
        <v>356</v>
      </c>
      <c r="F176" s="191" t="s">
        <v>357</v>
      </c>
      <c r="G176" s="222"/>
      <c r="H176" s="226">
        <v>81.900000000000006</v>
      </c>
      <c r="I176" s="66">
        <f t="shared" si="18"/>
        <v>717.83000000000277</v>
      </c>
      <c r="J176" s="163" t="s">
        <v>234</v>
      </c>
      <c r="K176" s="104">
        <v>6110</v>
      </c>
      <c r="L176" s="74" t="str">
        <f>VLOOKUP($J176,'2 CODIFICATION'!A$5:B$17,2,"FAUX")</f>
        <v>DASSOUTE TEUILLAC COLLEGE</v>
      </c>
      <c r="M176" s="74" t="str">
        <f>VLOOKUP($K176,'2 CODIFICATION'!D$8:E$64,2,"FAUX")</f>
        <v>Sous traitance projet</v>
      </c>
      <c r="N176" s="45">
        <f t="shared" si="15"/>
        <v>611000</v>
      </c>
      <c r="O176" s="14">
        <f t="shared" si="16"/>
        <v>-81.900000000000006</v>
      </c>
      <c r="P176" s="84">
        <f t="shared" si="17"/>
        <v>2021</v>
      </c>
      <c r="Q176" s="11" t="str">
        <f>VLOOKUP($N176,'2 CODIFICATION'!$G$5:$L$71,3,FALSE)</f>
        <v xml:space="preserve">Sous-traitance générale </v>
      </c>
      <c r="R176" s="53" t="str">
        <f>VLOOKUP($N176,'2 CODIFICATION'!$G$5:$L$71,4,FALSE)</f>
        <v>chges</v>
      </c>
      <c r="S176" s="53">
        <f>VLOOKUP($N176,'2 CODIFICATION'!$G$5:$L$71,5,FALSE)</f>
        <v>61</v>
      </c>
      <c r="T176" s="11" t="str">
        <f>VLOOKUP($N176,'2 CODIFICATION'!$G$5:$L$71,6,FALSE)</f>
        <v>Services extérieurs</v>
      </c>
    </row>
    <row r="177" spans="1:20" ht="14.5" hidden="1" customHeight="1">
      <c r="A177" s="189" t="s">
        <v>170</v>
      </c>
      <c r="B177" s="189" t="s">
        <v>79</v>
      </c>
      <c r="C177" s="116">
        <v>3298655</v>
      </c>
      <c r="D177" s="182">
        <v>44509</v>
      </c>
      <c r="E177" s="190" t="s">
        <v>360</v>
      </c>
      <c r="F177" s="191" t="s">
        <v>253</v>
      </c>
      <c r="G177" s="235">
        <v>60</v>
      </c>
      <c r="H177" s="224"/>
      <c r="I177" s="66">
        <f t="shared" si="18"/>
        <v>777.83000000000277</v>
      </c>
      <c r="J177" s="74" t="s">
        <v>306</v>
      </c>
      <c r="K177" s="142">
        <v>7771</v>
      </c>
      <c r="L177" s="74" t="str">
        <f>VLOOKUP($J177,'2 CODIFICATION'!A$5:B$17,2,"FAUX")</f>
        <v>DASSOUTE TEUILLAC CANTINE</v>
      </c>
      <c r="M177" s="74" t="str">
        <f>VLOOKUP($K177,'2 CODIFICATION'!D$8:E$64,2,"FAUX")</f>
        <v>Dons et participations à l"association</v>
      </c>
      <c r="N177" s="45">
        <f t="shared" si="15"/>
        <v>777100</v>
      </c>
      <c r="O177" s="14">
        <f t="shared" si="16"/>
        <v>60</v>
      </c>
      <c r="P177" s="84">
        <f t="shared" si="17"/>
        <v>2021</v>
      </c>
      <c r="Q177" s="11" t="str">
        <f>VLOOKUP($N177,'2 CODIFICATION'!$G$5:$L$71,3,FALSE)</f>
        <v>Dons et autres mises à dispositions gratuites</v>
      </c>
      <c r="R177" s="53" t="str">
        <f>VLOOKUP($N177,'2 CODIFICATION'!$G$5:$L$71,4,FALSE)</f>
        <v>pdts</v>
      </c>
      <c r="S177" s="53">
        <f>VLOOKUP($N177,'2 CODIFICATION'!$G$5:$L$71,5,FALSE)</f>
        <v>77</v>
      </c>
      <c r="T177" s="11" t="str">
        <f>VLOOKUP($N177,'2 CODIFICATION'!$G$5:$L$71,6,FALSE)</f>
        <v>Produits exceptionnels</v>
      </c>
    </row>
    <row r="178" spans="1:20" ht="14.5" hidden="1" customHeight="1">
      <c r="A178" s="189" t="s">
        <v>170</v>
      </c>
      <c r="B178" s="189" t="s">
        <v>79</v>
      </c>
      <c r="C178" s="116">
        <v>536283</v>
      </c>
      <c r="D178" s="182">
        <v>44519</v>
      </c>
      <c r="E178" s="190" t="s">
        <v>361</v>
      </c>
      <c r="F178" s="191" t="s">
        <v>253</v>
      </c>
      <c r="G178" s="235">
        <v>60</v>
      </c>
      <c r="H178" s="224"/>
      <c r="I178" s="66">
        <f t="shared" si="18"/>
        <v>837.83000000000277</v>
      </c>
      <c r="J178" s="74" t="s">
        <v>306</v>
      </c>
      <c r="K178" s="142">
        <v>7771</v>
      </c>
      <c r="L178" s="74" t="str">
        <f>VLOOKUP($J178,'2 CODIFICATION'!A$5:B$17,2,"FAUX")</f>
        <v>DASSOUTE TEUILLAC CANTINE</v>
      </c>
      <c r="M178" s="74" t="str">
        <f>VLOOKUP($K178,'2 CODIFICATION'!D$8:E$64,2,"FAUX")</f>
        <v>Dons et participations à l"association</v>
      </c>
      <c r="N178" s="45">
        <f t="shared" si="15"/>
        <v>777100</v>
      </c>
      <c r="O178" s="14">
        <f t="shared" si="16"/>
        <v>60</v>
      </c>
      <c r="P178" s="84">
        <f t="shared" si="17"/>
        <v>2021</v>
      </c>
      <c r="Q178" s="11" t="str">
        <f>VLOOKUP($N178,'2 CODIFICATION'!$G$5:$L$71,3,FALSE)</f>
        <v>Dons et autres mises à dispositions gratuites</v>
      </c>
      <c r="R178" s="53" t="str">
        <f>VLOOKUP($N178,'2 CODIFICATION'!$G$5:$L$71,4,FALSE)</f>
        <v>pdts</v>
      </c>
      <c r="S178" s="53">
        <f>VLOOKUP($N178,'2 CODIFICATION'!$G$5:$L$71,5,FALSE)</f>
        <v>77</v>
      </c>
      <c r="T178" s="11" t="str">
        <f>VLOOKUP($N178,'2 CODIFICATION'!$G$5:$L$71,6,FALSE)</f>
        <v>Produits exceptionnels</v>
      </c>
    </row>
    <row r="179" spans="1:20" ht="14.5" hidden="1" customHeight="1">
      <c r="A179" s="189" t="s">
        <v>170</v>
      </c>
      <c r="B179" s="189" t="s">
        <v>79</v>
      </c>
      <c r="C179" s="116">
        <v>310862</v>
      </c>
      <c r="D179" s="237">
        <v>44509</v>
      </c>
      <c r="E179" s="190" t="s">
        <v>362</v>
      </c>
      <c r="F179" s="191" t="s">
        <v>253</v>
      </c>
      <c r="G179" s="223">
        <v>40</v>
      </c>
      <c r="H179" s="224"/>
      <c r="I179" s="66">
        <f t="shared" si="18"/>
        <v>877.83000000000277</v>
      </c>
      <c r="J179" s="74" t="s">
        <v>306</v>
      </c>
      <c r="K179" s="142">
        <v>7771</v>
      </c>
      <c r="L179" s="74" t="str">
        <f>VLOOKUP($J179,'2 CODIFICATION'!A$5:B$17,2,"FAUX")</f>
        <v>DASSOUTE TEUILLAC CANTINE</v>
      </c>
      <c r="M179" s="74" t="str">
        <f>VLOOKUP($K179,'2 CODIFICATION'!D$8:E$64,2,"FAUX")</f>
        <v>Dons et participations à l"association</v>
      </c>
      <c r="N179" s="45">
        <f t="shared" si="15"/>
        <v>777100</v>
      </c>
      <c r="O179" s="14">
        <f t="shared" si="16"/>
        <v>40</v>
      </c>
      <c r="P179" s="84">
        <f t="shared" si="17"/>
        <v>2021</v>
      </c>
      <c r="Q179" s="11" t="str">
        <f>VLOOKUP($N179,'2 CODIFICATION'!$G$5:$L$71,3,FALSE)</f>
        <v>Dons et autres mises à dispositions gratuites</v>
      </c>
      <c r="R179" s="53" t="str">
        <f>VLOOKUP($N179,'2 CODIFICATION'!$G$5:$L$71,4,FALSE)</f>
        <v>pdts</v>
      </c>
      <c r="S179" s="53">
        <f>VLOOKUP($N179,'2 CODIFICATION'!$G$5:$L$71,5,FALSE)</f>
        <v>77</v>
      </c>
      <c r="T179" s="11" t="str">
        <f>VLOOKUP($N179,'2 CODIFICATION'!$G$5:$L$71,6,FALSE)</f>
        <v>Produits exceptionnels</v>
      </c>
    </row>
    <row r="180" spans="1:20" ht="14.5" hidden="1" customHeight="1">
      <c r="A180" s="189" t="s">
        <v>170</v>
      </c>
      <c r="B180" s="189" t="s">
        <v>79</v>
      </c>
      <c r="C180" s="116">
        <v>8905383</v>
      </c>
      <c r="D180" s="182">
        <v>44510</v>
      </c>
      <c r="E180" s="190" t="s">
        <v>363</v>
      </c>
      <c r="F180" s="191" t="s">
        <v>253</v>
      </c>
      <c r="G180" s="235">
        <v>40</v>
      </c>
      <c r="H180" s="224"/>
      <c r="I180" s="66">
        <f t="shared" si="18"/>
        <v>917.83000000000277</v>
      </c>
      <c r="J180" s="74" t="s">
        <v>306</v>
      </c>
      <c r="K180" s="142">
        <v>7771</v>
      </c>
      <c r="L180" s="74" t="str">
        <f>VLOOKUP($J180,'2 CODIFICATION'!A$5:B$17,2,"FAUX")</f>
        <v>DASSOUTE TEUILLAC CANTINE</v>
      </c>
      <c r="M180" s="74" t="str">
        <f>VLOOKUP($K180,'2 CODIFICATION'!D$8:E$64,2,"FAUX")</f>
        <v>Dons et participations à l"association</v>
      </c>
      <c r="N180" s="45">
        <f t="shared" si="15"/>
        <v>777100</v>
      </c>
      <c r="O180" s="14">
        <f t="shared" si="16"/>
        <v>40</v>
      </c>
      <c r="P180" s="84">
        <f t="shared" si="17"/>
        <v>2021</v>
      </c>
      <c r="Q180" s="11" t="str">
        <f>VLOOKUP($N180,'2 CODIFICATION'!$G$5:$L$71,3,FALSE)</f>
        <v>Dons et autres mises à dispositions gratuites</v>
      </c>
      <c r="R180" s="53" t="str">
        <f>VLOOKUP($N180,'2 CODIFICATION'!$G$5:$L$71,4,FALSE)</f>
        <v>pdts</v>
      </c>
      <c r="S180" s="53">
        <f>VLOOKUP($N180,'2 CODIFICATION'!$G$5:$L$71,5,FALSE)</f>
        <v>77</v>
      </c>
      <c r="T180" s="11" t="str">
        <f>VLOOKUP($N180,'2 CODIFICATION'!$G$5:$L$71,6,FALSE)</f>
        <v>Produits exceptionnels</v>
      </c>
    </row>
    <row r="181" spans="1:20" ht="14.5" hidden="1" customHeight="1">
      <c r="A181" s="189" t="s">
        <v>170</v>
      </c>
      <c r="B181" s="189" t="s">
        <v>79</v>
      </c>
      <c r="C181" s="192">
        <v>992</v>
      </c>
      <c r="D181" s="182">
        <v>44509</v>
      </c>
      <c r="E181" s="194" t="s">
        <v>364</v>
      </c>
      <c r="F181" s="194" t="s">
        <v>253</v>
      </c>
      <c r="G181" s="235">
        <v>40</v>
      </c>
      <c r="H181" s="224"/>
      <c r="I181" s="66">
        <f t="shared" si="18"/>
        <v>957.83000000000277</v>
      </c>
      <c r="J181" s="74" t="s">
        <v>306</v>
      </c>
      <c r="K181" s="142">
        <v>7771</v>
      </c>
      <c r="L181" s="74" t="str">
        <f>VLOOKUP($J181,'2 CODIFICATION'!A$5:B$17,2,"FAUX")</f>
        <v>DASSOUTE TEUILLAC CANTINE</v>
      </c>
      <c r="M181" s="74" t="str">
        <f>VLOOKUP($K181,'2 CODIFICATION'!D$8:E$64,2,"FAUX")</f>
        <v>Dons et participations à l"association</v>
      </c>
      <c r="N181" s="45">
        <f t="shared" si="15"/>
        <v>777100</v>
      </c>
      <c r="O181" s="14">
        <f t="shared" si="16"/>
        <v>40</v>
      </c>
      <c r="P181" s="84">
        <f t="shared" si="17"/>
        <v>2021</v>
      </c>
      <c r="Q181" s="11" t="str">
        <f>VLOOKUP($N181,'2 CODIFICATION'!$G$5:$L$71,3,FALSE)</f>
        <v>Dons et autres mises à dispositions gratuites</v>
      </c>
      <c r="R181" s="53" t="str">
        <f>VLOOKUP($N181,'2 CODIFICATION'!$G$5:$L$71,4,FALSE)</f>
        <v>pdts</v>
      </c>
      <c r="S181" s="53">
        <f>VLOOKUP($N181,'2 CODIFICATION'!$G$5:$L$71,5,FALSE)</f>
        <v>77</v>
      </c>
      <c r="T181" s="11" t="str">
        <f>VLOOKUP($N181,'2 CODIFICATION'!$G$5:$L$71,6,FALSE)</f>
        <v>Produits exceptionnels</v>
      </c>
    </row>
    <row r="182" spans="1:20" ht="14.5" hidden="1" customHeight="1">
      <c r="A182" s="194" t="s">
        <v>170</v>
      </c>
      <c r="B182" s="194" t="s">
        <v>79</v>
      </c>
      <c r="C182" s="192">
        <v>44</v>
      </c>
      <c r="D182" s="193">
        <v>44510</v>
      </c>
      <c r="E182" s="194" t="s">
        <v>365</v>
      </c>
      <c r="F182" s="194" t="s">
        <v>253</v>
      </c>
      <c r="G182" s="235">
        <v>40</v>
      </c>
      <c r="H182" s="224"/>
      <c r="I182" s="66">
        <f t="shared" si="18"/>
        <v>997.83000000000277</v>
      </c>
      <c r="J182" s="74" t="s">
        <v>306</v>
      </c>
      <c r="K182" s="142">
        <v>7771</v>
      </c>
      <c r="L182" s="74" t="str">
        <f>VLOOKUP($J182,'2 CODIFICATION'!A$5:B$17,2,"FAUX")</f>
        <v>DASSOUTE TEUILLAC CANTINE</v>
      </c>
      <c r="M182" s="74" t="str">
        <f>VLOOKUP($K182,'2 CODIFICATION'!D$8:E$64,2,"FAUX")</f>
        <v>Dons et participations à l"association</v>
      </c>
      <c r="N182" s="45">
        <f t="shared" si="15"/>
        <v>777100</v>
      </c>
      <c r="O182" s="14">
        <f t="shared" si="16"/>
        <v>40</v>
      </c>
      <c r="P182" s="84">
        <f t="shared" si="17"/>
        <v>2021</v>
      </c>
      <c r="Q182" s="11" t="str">
        <f>VLOOKUP($N182,'2 CODIFICATION'!$G$5:$L$71,3,FALSE)</f>
        <v>Dons et autres mises à dispositions gratuites</v>
      </c>
      <c r="R182" s="53" t="str">
        <f>VLOOKUP($N182,'2 CODIFICATION'!$G$5:$L$71,4,FALSE)</f>
        <v>pdts</v>
      </c>
      <c r="S182" s="53">
        <f>VLOOKUP($N182,'2 CODIFICATION'!$G$5:$L$71,5,FALSE)</f>
        <v>77</v>
      </c>
      <c r="T182" s="11" t="str">
        <f>VLOOKUP($N182,'2 CODIFICATION'!$G$5:$L$71,6,FALSE)</f>
        <v>Produits exceptionnels</v>
      </c>
    </row>
    <row r="183" spans="1:20" ht="14.5" hidden="1" customHeight="1">
      <c r="A183" s="194" t="s">
        <v>170</v>
      </c>
      <c r="B183" s="194" t="s">
        <v>79</v>
      </c>
      <c r="C183" s="192">
        <v>963</v>
      </c>
      <c r="D183" s="193">
        <v>44512</v>
      </c>
      <c r="E183" s="194" t="s">
        <v>366</v>
      </c>
      <c r="F183" s="194" t="s">
        <v>253</v>
      </c>
      <c r="G183" s="235">
        <v>40</v>
      </c>
      <c r="H183" s="224"/>
      <c r="I183" s="66">
        <f t="shared" si="18"/>
        <v>1037.8300000000027</v>
      </c>
      <c r="J183" s="74" t="s">
        <v>306</v>
      </c>
      <c r="K183" s="142">
        <v>7771</v>
      </c>
      <c r="L183" s="74" t="str">
        <f>VLOOKUP($J183,'2 CODIFICATION'!A$5:B$17,2,"FAUX")</f>
        <v>DASSOUTE TEUILLAC CANTINE</v>
      </c>
      <c r="M183" s="74" t="str">
        <f>VLOOKUP($K183,'2 CODIFICATION'!D$8:E$64,2,"FAUX")</f>
        <v>Dons et participations à l"association</v>
      </c>
      <c r="N183" s="45">
        <f t="shared" si="15"/>
        <v>777100</v>
      </c>
      <c r="O183" s="14">
        <f t="shared" si="16"/>
        <v>40</v>
      </c>
      <c r="P183" s="84">
        <f t="shared" si="17"/>
        <v>2021</v>
      </c>
      <c r="Q183" s="11" t="str">
        <f>VLOOKUP($N183,'2 CODIFICATION'!$G$5:$L$71,3,FALSE)</f>
        <v>Dons et autres mises à dispositions gratuites</v>
      </c>
      <c r="R183" s="53" t="str">
        <f>VLOOKUP($N183,'2 CODIFICATION'!$G$5:$L$71,4,FALSE)</f>
        <v>pdts</v>
      </c>
      <c r="S183" s="53">
        <f>VLOOKUP($N183,'2 CODIFICATION'!$G$5:$L$71,5,FALSE)</f>
        <v>77</v>
      </c>
      <c r="T183" s="11" t="str">
        <f>VLOOKUP($N183,'2 CODIFICATION'!$G$5:$L$71,6,FALSE)</f>
        <v>Produits exceptionnels</v>
      </c>
    </row>
    <row r="184" spans="1:20" ht="14.5" hidden="1" customHeight="1">
      <c r="A184" s="194" t="s">
        <v>170</v>
      </c>
      <c r="B184" s="194" t="s">
        <v>79</v>
      </c>
      <c r="C184" s="192">
        <v>5928616</v>
      </c>
      <c r="D184" s="193">
        <v>44518</v>
      </c>
      <c r="E184" s="194" t="s">
        <v>367</v>
      </c>
      <c r="F184" s="194" t="s">
        <v>253</v>
      </c>
      <c r="G184" s="235">
        <v>40</v>
      </c>
      <c r="H184" s="224"/>
      <c r="I184" s="66">
        <f t="shared" si="18"/>
        <v>1077.8300000000027</v>
      </c>
      <c r="J184" s="74" t="s">
        <v>306</v>
      </c>
      <c r="K184" s="142">
        <v>7771</v>
      </c>
      <c r="L184" s="74" t="str">
        <f>VLOOKUP($J184,'2 CODIFICATION'!A$5:B$17,2,"FAUX")</f>
        <v>DASSOUTE TEUILLAC CANTINE</v>
      </c>
      <c r="M184" s="74" t="str">
        <f>VLOOKUP($K184,'2 CODIFICATION'!D$8:E$64,2,"FAUX")</f>
        <v>Dons et participations à l"association</v>
      </c>
      <c r="N184" s="45">
        <f t="shared" si="15"/>
        <v>777100</v>
      </c>
      <c r="O184" s="14">
        <f t="shared" si="16"/>
        <v>40</v>
      </c>
      <c r="P184" s="84">
        <f t="shared" si="17"/>
        <v>2021</v>
      </c>
      <c r="Q184" s="11" t="str">
        <f>VLOOKUP($N184,'2 CODIFICATION'!$G$5:$L$71,3,FALSE)</f>
        <v>Dons et autres mises à dispositions gratuites</v>
      </c>
      <c r="R184" s="53" t="str">
        <f>VLOOKUP($N184,'2 CODIFICATION'!$G$5:$L$71,4,FALSE)</f>
        <v>pdts</v>
      </c>
      <c r="S184" s="53">
        <f>VLOOKUP($N184,'2 CODIFICATION'!$G$5:$L$71,5,FALSE)</f>
        <v>77</v>
      </c>
      <c r="T184" s="11" t="str">
        <f>VLOOKUP($N184,'2 CODIFICATION'!$G$5:$L$71,6,FALSE)</f>
        <v>Produits exceptionnels</v>
      </c>
    </row>
    <row r="185" spans="1:20" ht="14.5" hidden="1" customHeight="1">
      <c r="A185" s="194" t="s">
        <v>170</v>
      </c>
      <c r="B185" s="194" t="s">
        <v>79</v>
      </c>
      <c r="C185" s="192">
        <v>2827293</v>
      </c>
      <c r="D185" s="193">
        <v>44522</v>
      </c>
      <c r="E185" s="194" t="s">
        <v>368</v>
      </c>
      <c r="F185" s="194" t="s">
        <v>253</v>
      </c>
      <c r="G185" s="235">
        <v>40</v>
      </c>
      <c r="H185" s="224"/>
      <c r="I185" s="66">
        <f t="shared" si="18"/>
        <v>1117.8300000000027</v>
      </c>
      <c r="J185" s="74" t="s">
        <v>306</v>
      </c>
      <c r="K185" s="142">
        <v>7771</v>
      </c>
      <c r="L185" s="74" t="str">
        <f>VLOOKUP($J185,'2 CODIFICATION'!A$5:B$17,2,"FAUX")</f>
        <v>DASSOUTE TEUILLAC CANTINE</v>
      </c>
      <c r="M185" s="74" t="str">
        <f>VLOOKUP($K185,'2 CODIFICATION'!D$8:E$64,2,"FAUX")</f>
        <v>Dons et participations à l"association</v>
      </c>
      <c r="N185" s="45">
        <f t="shared" si="15"/>
        <v>777100</v>
      </c>
      <c r="O185" s="14">
        <f t="shared" si="16"/>
        <v>40</v>
      </c>
      <c r="P185" s="84">
        <f t="shared" si="17"/>
        <v>2021</v>
      </c>
      <c r="Q185" s="11" t="str">
        <f>VLOOKUP($N185,'2 CODIFICATION'!$G$5:$L$71,3,FALSE)</f>
        <v>Dons et autres mises à dispositions gratuites</v>
      </c>
      <c r="R185" s="53" t="str">
        <f>VLOOKUP($N185,'2 CODIFICATION'!$G$5:$L$71,4,FALSE)</f>
        <v>pdts</v>
      </c>
      <c r="S185" s="53">
        <f>VLOOKUP($N185,'2 CODIFICATION'!$G$5:$L$71,5,FALSE)</f>
        <v>77</v>
      </c>
      <c r="T185" s="11" t="str">
        <f>VLOOKUP($N185,'2 CODIFICATION'!$G$5:$L$71,6,FALSE)</f>
        <v>Produits exceptionnels</v>
      </c>
    </row>
    <row r="186" spans="1:20" ht="14.5" hidden="1" customHeight="1">
      <c r="A186" s="194" t="s">
        <v>170</v>
      </c>
      <c r="B186" s="194" t="s">
        <v>79</v>
      </c>
      <c r="C186" s="192">
        <v>991815</v>
      </c>
      <c r="D186" s="193">
        <v>44534</v>
      </c>
      <c r="E186" s="194" t="s">
        <v>369</v>
      </c>
      <c r="F186" s="194" t="s">
        <v>253</v>
      </c>
      <c r="G186" s="235">
        <v>40</v>
      </c>
      <c r="H186" s="224"/>
      <c r="I186" s="66">
        <f t="shared" si="18"/>
        <v>1157.8300000000027</v>
      </c>
      <c r="J186" s="74" t="s">
        <v>306</v>
      </c>
      <c r="K186" s="142">
        <v>7771</v>
      </c>
      <c r="L186" s="74" t="str">
        <f>VLOOKUP($J186,'2 CODIFICATION'!A$5:B$17,2,"FAUX")</f>
        <v>DASSOUTE TEUILLAC CANTINE</v>
      </c>
      <c r="M186" s="74" t="str">
        <f>VLOOKUP($K186,'2 CODIFICATION'!D$8:E$64,2,"FAUX")</f>
        <v>Dons et participations à l"association</v>
      </c>
      <c r="N186" s="45">
        <f t="shared" si="15"/>
        <v>777100</v>
      </c>
      <c r="O186" s="14">
        <f t="shared" si="16"/>
        <v>40</v>
      </c>
      <c r="P186" s="84">
        <f t="shared" si="17"/>
        <v>2021</v>
      </c>
      <c r="Q186" s="11" t="str">
        <f>VLOOKUP($N186,'2 CODIFICATION'!$G$5:$L$71,3,FALSE)</f>
        <v>Dons et autres mises à dispositions gratuites</v>
      </c>
      <c r="R186" s="53" t="str">
        <f>VLOOKUP($N186,'2 CODIFICATION'!$G$5:$L$71,4,FALSE)</f>
        <v>pdts</v>
      </c>
      <c r="S186" s="53">
        <f>VLOOKUP($N186,'2 CODIFICATION'!$G$5:$L$71,5,FALSE)</f>
        <v>77</v>
      </c>
      <c r="T186" s="11" t="str">
        <f>VLOOKUP($N186,'2 CODIFICATION'!$G$5:$L$71,6,FALSE)</f>
        <v>Produits exceptionnels</v>
      </c>
    </row>
    <row r="187" spans="1:20" ht="14.5" hidden="1" customHeight="1">
      <c r="A187" s="194" t="s">
        <v>170</v>
      </c>
      <c r="B187" s="194" t="s">
        <v>79</v>
      </c>
      <c r="C187" s="192">
        <v>2309</v>
      </c>
      <c r="D187" s="193">
        <v>44542</v>
      </c>
      <c r="E187" s="194" t="s">
        <v>370</v>
      </c>
      <c r="F187" s="194" t="s">
        <v>253</v>
      </c>
      <c r="G187" s="235">
        <v>40</v>
      </c>
      <c r="H187" s="224"/>
      <c r="I187" s="66">
        <f t="shared" si="18"/>
        <v>1197.8300000000027</v>
      </c>
      <c r="J187" s="74" t="s">
        <v>306</v>
      </c>
      <c r="K187" s="142">
        <v>7771</v>
      </c>
      <c r="L187" s="74" t="str">
        <f>VLOOKUP($J187,'2 CODIFICATION'!A$5:B$17,2,"FAUX")</f>
        <v>DASSOUTE TEUILLAC CANTINE</v>
      </c>
      <c r="M187" s="74" t="str">
        <f>VLOOKUP($K187,'2 CODIFICATION'!D$8:E$64,2,"FAUX")</f>
        <v>Dons et participations à l"association</v>
      </c>
      <c r="N187" s="45">
        <f t="shared" si="15"/>
        <v>777100</v>
      </c>
      <c r="O187" s="14">
        <f t="shared" si="16"/>
        <v>40</v>
      </c>
      <c r="P187" s="84">
        <f t="shared" si="17"/>
        <v>2021</v>
      </c>
      <c r="Q187" s="11" t="str">
        <f>VLOOKUP($N187,'2 CODIFICATION'!$G$5:$L$71,3,FALSE)</f>
        <v>Dons et autres mises à dispositions gratuites</v>
      </c>
      <c r="R187" s="53" t="str">
        <f>VLOOKUP($N187,'2 CODIFICATION'!$G$5:$L$71,4,FALSE)</f>
        <v>pdts</v>
      </c>
      <c r="S187" s="53">
        <f>VLOOKUP($N187,'2 CODIFICATION'!$G$5:$L$71,5,FALSE)</f>
        <v>77</v>
      </c>
      <c r="T187" s="11" t="str">
        <f>VLOOKUP($N187,'2 CODIFICATION'!$G$5:$L$71,6,FALSE)</f>
        <v>Produits exceptionnels</v>
      </c>
    </row>
    <row r="188" spans="1:20" ht="14.5" hidden="1" customHeight="1">
      <c r="A188" s="194" t="s">
        <v>170</v>
      </c>
      <c r="B188" s="194" t="s">
        <v>79</v>
      </c>
      <c r="C188" s="192">
        <v>3849</v>
      </c>
      <c r="D188" s="193">
        <v>44542</v>
      </c>
      <c r="E188" s="194" t="s">
        <v>371</v>
      </c>
      <c r="F188" s="194" t="s">
        <v>253</v>
      </c>
      <c r="G188" s="235">
        <v>40</v>
      </c>
      <c r="H188" s="224"/>
      <c r="I188" s="66">
        <f t="shared" si="18"/>
        <v>1237.8300000000027</v>
      </c>
      <c r="J188" s="74" t="s">
        <v>306</v>
      </c>
      <c r="K188" s="142">
        <v>7771</v>
      </c>
      <c r="L188" s="74" t="str">
        <f>VLOOKUP($J188,'2 CODIFICATION'!A$5:B$17,2,"FAUX")</f>
        <v>DASSOUTE TEUILLAC CANTINE</v>
      </c>
      <c r="M188" s="74" t="str">
        <f>VLOOKUP($K188,'2 CODIFICATION'!D$8:E$64,2,"FAUX")</f>
        <v>Dons et participations à l"association</v>
      </c>
      <c r="N188" s="45">
        <f t="shared" si="15"/>
        <v>777100</v>
      </c>
      <c r="O188" s="14">
        <f t="shared" si="16"/>
        <v>40</v>
      </c>
      <c r="P188" s="84">
        <f t="shared" si="17"/>
        <v>2021</v>
      </c>
      <c r="Q188" s="11" t="str">
        <f>VLOOKUP($N188,'2 CODIFICATION'!$G$5:$L$71,3,FALSE)</f>
        <v>Dons et autres mises à dispositions gratuites</v>
      </c>
      <c r="R188" s="53" t="str">
        <f>VLOOKUP($N188,'2 CODIFICATION'!$G$5:$L$71,4,FALSE)</f>
        <v>pdts</v>
      </c>
      <c r="S188" s="53">
        <f>VLOOKUP($N188,'2 CODIFICATION'!$G$5:$L$71,5,FALSE)</f>
        <v>77</v>
      </c>
      <c r="T188" s="11" t="str">
        <f>VLOOKUP($N188,'2 CODIFICATION'!$G$5:$L$71,6,FALSE)</f>
        <v>Produits exceptionnels</v>
      </c>
    </row>
    <row r="189" spans="1:20" ht="14.5" hidden="1" customHeight="1">
      <c r="A189" s="194" t="s">
        <v>170</v>
      </c>
      <c r="B189" s="194" t="s">
        <v>79</v>
      </c>
      <c r="C189" s="192">
        <v>1498</v>
      </c>
      <c r="D189" s="193">
        <v>44505</v>
      </c>
      <c r="E189" s="194" t="s">
        <v>372</v>
      </c>
      <c r="F189" s="194" t="s">
        <v>253</v>
      </c>
      <c r="G189" s="235">
        <v>20</v>
      </c>
      <c r="H189" s="224"/>
      <c r="I189" s="66">
        <f t="shared" si="18"/>
        <v>1257.8300000000027</v>
      </c>
      <c r="J189" s="74" t="s">
        <v>306</v>
      </c>
      <c r="K189" s="142">
        <v>7771</v>
      </c>
      <c r="L189" s="74" t="str">
        <f>VLOOKUP($J189,'2 CODIFICATION'!A$5:B$17,2,"FAUX")</f>
        <v>DASSOUTE TEUILLAC CANTINE</v>
      </c>
      <c r="M189" s="74" t="str">
        <f>VLOOKUP($K189,'2 CODIFICATION'!D$8:E$64,2,"FAUX")</f>
        <v>Dons et participations à l"association</v>
      </c>
      <c r="N189" s="45">
        <f t="shared" si="15"/>
        <v>777100</v>
      </c>
      <c r="O189" s="14">
        <f t="shared" si="16"/>
        <v>20</v>
      </c>
      <c r="P189" s="84">
        <f t="shared" si="17"/>
        <v>2021</v>
      </c>
      <c r="Q189" s="11" t="str">
        <f>VLOOKUP($N189,'2 CODIFICATION'!$G$5:$L$71,3,FALSE)</f>
        <v>Dons et autres mises à dispositions gratuites</v>
      </c>
      <c r="R189" s="53" t="str">
        <f>VLOOKUP($N189,'2 CODIFICATION'!$G$5:$L$71,4,FALSE)</f>
        <v>pdts</v>
      </c>
      <c r="S189" s="53">
        <f>VLOOKUP($N189,'2 CODIFICATION'!$G$5:$L$71,5,FALSE)</f>
        <v>77</v>
      </c>
      <c r="T189" s="11" t="str">
        <f>VLOOKUP($N189,'2 CODIFICATION'!$G$5:$L$71,6,FALSE)</f>
        <v>Produits exceptionnels</v>
      </c>
    </row>
    <row r="190" spans="1:20" ht="14.5" hidden="1" customHeight="1">
      <c r="A190" s="194" t="s">
        <v>170</v>
      </c>
      <c r="B190" s="194" t="s">
        <v>79</v>
      </c>
      <c r="C190" s="192">
        <v>1499</v>
      </c>
      <c r="D190" s="193">
        <v>44505</v>
      </c>
      <c r="E190" s="194" t="s">
        <v>373</v>
      </c>
      <c r="F190" s="194" t="s">
        <v>253</v>
      </c>
      <c r="G190" s="235">
        <v>20</v>
      </c>
      <c r="H190" s="224"/>
      <c r="I190" s="66">
        <f t="shared" si="18"/>
        <v>1277.8300000000027</v>
      </c>
      <c r="J190" s="74" t="s">
        <v>306</v>
      </c>
      <c r="K190" s="142">
        <v>7771</v>
      </c>
      <c r="L190" s="74" t="str">
        <f>VLOOKUP($J190,'2 CODIFICATION'!A$5:B$17,2,"FAUX")</f>
        <v>DASSOUTE TEUILLAC CANTINE</v>
      </c>
      <c r="M190" s="74" t="str">
        <f>VLOOKUP($K190,'2 CODIFICATION'!D$8:E$64,2,"FAUX")</f>
        <v>Dons et participations à l"association</v>
      </c>
      <c r="N190" s="45">
        <f t="shared" si="15"/>
        <v>777100</v>
      </c>
      <c r="O190" s="14">
        <f t="shared" si="16"/>
        <v>20</v>
      </c>
      <c r="P190" s="84">
        <f t="shared" si="17"/>
        <v>2021</v>
      </c>
      <c r="Q190" s="11" t="str">
        <f>VLOOKUP($N190,'2 CODIFICATION'!$G$5:$L$71,3,FALSE)</f>
        <v>Dons et autres mises à dispositions gratuites</v>
      </c>
      <c r="R190" s="53" t="str">
        <f>VLOOKUP($N190,'2 CODIFICATION'!$G$5:$L$71,4,FALSE)</f>
        <v>pdts</v>
      </c>
      <c r="S190" s="53">
        <f>VLOOKUP($N190,'2 CODIFICATION'!$G$5:$L$71,5,FALSE)</f>
        <v>77</v>
      </c>
      <c r="T190" s="11" t="str">
        <f>VLOOKUP($N190,'2 CODIFICATION'!$G$5:$L$71,6,FALSE)</f>
        <v>Produits exceptionnels</v>
      </c>
    </row>
    <row r="191" spans="1:20" ht="14.5" hidden="1" customHeight="1">
      <c r="A191" s="194" t="s">
        <v>170</v>
      </c>
      <c r="B191" s="194" t="s">
        <v>79</v>
      </c>
      <c r="C191" s="192">
        <v>377</v>
      </c>
      <c r="D191" s="193">
        <v>44510</v>
      </c>
      <c r="E191" s="194" t="s">
        <v>374</v>
      </c>
      <c r="F191" s="194" t="s">
        <v>253</v>
      </c>
      <c r="G191" s="235">
        <v>20</v>
      </c>
      <c r="H191" s="224"/>
      <c r="I191" s="66">
        <f t="shared" si="18"/>
        <v>1297.8300000000027</v>
      </c>
      <c r="J191" s="74" t="s">
        <v>306</v>
      </c>
      <c r="K191" s="142">
        <v>7771</v>
      </c>
      <c r="L191" s="74" t="str">
        <f>VLOOKUP($J191,'2 CODIFICATION'!A$5:B$17,2,"FAUX")</f>
        <v>DASSOUTE TEUILLAC CANTINE</v>
      </c>
      <c r="M191" s="74" t="str">
        <f>VLOOKUP($K191,'2 CODIFICATION'!D$8:E$64,2,"FAUX")</f>
        <v>Dons et participations à l"association</v>
      </c>
      <c r="N191" s="45">
        <f t="shared" si="15"/>
        <v>777100</v>
      </c>
      <c r="O191" s="14">
        <f t="shared" si="16"/>
        <v>20</v>
      </c>
      <c r="P191" s="84">
        <f t="shared" si="17"/>
        <v>2021</v>
      </c>
      <c r="Q191" s="11" t="str">
        <f>VLOOKUP($N191,'2 CODIFICATION'!$G$5:$L$71,3,FALSE)</f>
        <v>Dons et autres mises à dispositions gratuites</v>
      </c>
      <c r="R191" s="53" t="str">
        <f>VLOOKUP($N191,'2 CODIFICATION'!$G$5:$L$71,4,FALSE)</f>
        <v>pdts</v>
      </c>
      <c r="S191" s="53">
        <f>VLOOKUP($N191,'2 CODIFICATION'!$G$5:$L$71,5,FALSE)</f>
        <v>77</v>
      </c>
      <c r="T191" s="11" t="str">
        <f>VLOOKUP($N191,'2 CODIFICATION'!$G$5:$L$71,6,FALSE)</f>
        <v>Produits exceptionnels</v>
      </c>
    </row>
    <row r="192" spans="1:20" ht="14.5" hidden="1" customHeight="1">
      <c r="A192" s="194" t="s">
        <v>170</v>
      </c>
      <c r="B192" s="194" t="s">
        <v>79</v>
      </c>
      <c r="C192" s="192">
        <v>7773636</v>
      </c>
      <c r="D192" s="193">
        <v>44510</v>
      </c>
      <c r="E192" s="194" t="s">
        <v>375</v>
      </c>
      <c r="F192" s="194" t="s">
        <v>253</v>
      </c>
      <c r="G192" s="235">
        <v>20</v>
      </c>
      <c r="H192" s="224"/>
      <c r="I192" s="66">
        <f t="shared" si="18"/>
        <v>1317.8300000000027</v>
      </c>
      <c r="J192" s="74" t="s">
        <v>306</v>
      </c>
      <c r="K192" s="142">
        <v>7771</v>
      </c>
      <c r="L192" s="74" t="str">
        <f>VLOOKUP($J192,'2 CODIFICATION'!A$5:B$17,2,"FAUX")</f>
        <v>DASSOUTE TEUILLAC CANTINE</v>
      </c>
      <c r="M192" s="74" t="str">
        <f>VLOOKUP($K192,'2 CODIFICATION'!D$8:E$64,2,"FAUX")</f>
        <v>Dons et participations à l"association</v>
      </c>
      <c r="N192" s="45">
        <f t="shared" si="15"/>
        <v>777100</v>
      </c>
      <c r="O192" s="14">
        <f t="shared" si="16"/>
        <v>20</v>
      </c>
      <c r="P192" s="84">
        <f t="shared" si="17"/>
        <v>2021</v>
      </c>
      <c r="Q192" s="11" t="str">
        <f>VLOOKUP($N192,'2 CODIFICATION'!$G$5:$L$71,3,FALSE)</f>
        <v>Dons et autres mises à dispositions gratuites</v>
      </c>
      <c r="R192" s="53" t="str">
        <f>VLOOKUP($N192,'2 CODIFICATION'!$G$5:$L$71,4,FALSE)</f>
        <v>pdts</v>
      </c>
      <c r="S192" s="53">
        <f>VLOOKUP($N192,'2 CODIFICATION'!$G$5:$L$71,5,FALSE)</f>
        <v>77</v>
      </c>
      <c r="T192" s="11" t="str">
        <f>VLOOKUP($N192,'2 CODIFICATION'!$G$5:$L$71,6,FALSE)</f>
        <v>Produits exceptionnels</v>
      </c>
    </row>
    <row r="193" spans="1:20" ht="14.5" hidden="1" customHeight="1">
      <c r="A193" s="194" t="s">
        <v>170</v>
      </c>
      <c r="B193" s="194" t="s">
        <v>79</v>
      </c>
      <c r="C193" s="192">
        <v>3271233</v>
      </c>
      <c r="D193" s="193">
        <v>44512</v>
      </c>
      <c r="E193" s="194" t="s">
        <v>376</v>
      </c>
      <c r="F193" s="194" t="s">
        <v>253</v>
      </c>
      <c r="G193" s="235">
        <v>20</v>
      </c>
      <c r="H193" s="224"/>
      <c r="I193" s="66">
        <f t="shared" si="18"/>
        <v>1337.8300000000027</v>
      </c>
      <c r="J193" s="74" t="s">
        <v>306</v>
      </c>
      <c r="K193" s="142">
        <v>7771</v>
      </c>
      <c r="L193" s="74" t="str">
        <f>VLOOKUP($J193,'2 CODIFICATION'!A$5:B$17,2,"FAUX")</f>
        <v>DASSOUTE TEUILLAC CANTINE</v>
      </c>
      <c r="M193" s="74" t="str">
        <f>VLOOKUP($K193,'2 CODIFICATION'!D$8:E$64,2,"FAUX")</f>
        <v>Dons et participations à l"association</v>
      </c>
      <c r="N193" s="45">
        <f t="shared" si="15"/>
        <v>777100</v>
      </c>
      <c r="O193" s="14">
        <f t="shared" si="16"/>
        <v>20</v>
      </c>
      <c r="P193" s="84">
        <f t="shared" si="17"/>
        <v>2021</v>
      </c>
      <c r="Q193" s="11" t="str">
        <f>VLOOKUP($N193,'2 CODIFICATION'!$G$5:$L$71,3,FALSE)</f>
        <v>Dons et autres mises à dispositions gratuites</v>
      </c>
      <c r="R193" s="53" t="str">
        <f>VLOOKUP($N193,'2 CODIFICATION'!$G$5:$L$71,4,FALSE)</f>
        <v>pdts</v>
      </c>
      <c r="S193" s="53">
        <f>VLOOKUP($N193,'2 CODIFICATION'!$G$5:$L$71,5,FALSE)</f>
        <v>77</v>
      </c>
      <c r="T193" s="11" t="str">
        <f>VLOOKUP($N193,'2 CODIFICATION'!$G$5:$L$71,6,FALSE)</f>
        <v>Produits exceptionnels</v>
      </c>
    </row>
    <row r="194" spans="1:20" ht="14.5" hidden="1" customHeight="1">
      <c r="A194" s="194" t="s">
        <v>170</v>
      </c>
      <c r="B194" s="194" t="s">
        <v>79</v>
      </c>
      <c r="C194" s="192">
        <v>44407</v>
      </c>
      <c r="D194" s="193">
        <v>44516</v>
      </c>
      <c r="E194" s="194" t="s">
        <v>377</v>
      </c>
      <c r="F194" s="194" t="s">
        <v>253</v>
      </c>
      <c r="G194" s="235">
        <v>20</v>
      </c>
      <c r="H194" s="224"/>
      <c r="I194" s="66">
        <f t="shared" si="18"/>
        <v>1357.8300000000027</v>
      </c>
      <c r="J194" s="74" t="s">
        <v>306</v>
      </c>
      <c r="K194" s="142">
        <v>7771</v>
      </c>
      <c r="L194" s="74" t="str">
        <f>VLOOKUP($J194,'2 CODIFICATION'!A$5:B$17,2,"FAUX")</f>
        <v>DASSOUTE TEUILLAC CANTINE</v>
      </c>
      <c r="M194" s="74" t="str">
        <f>VLOOKUP($K194,'2 CODIFICATION'!D$8:E$64,2,"FAUX")</f>
        <v>Dons et participations à l"association</v>
      </c>
      <c r="N194" s="45">
        <f t="shared" si="15"/>
        <v>777100</v>
      </c>
      <c r="O194" s="14">
        <f t="shared" si="16"/>
        <v>20</v>
      </c>
      <c r="P194" s="84">
        <f t="shared" si="17"/>
        <v>2021</v>
      </c>
      <c r="Q194" s="11" t="str">
        <f>VLOOKUP($N194,'2 CODIFICATION'!$G$5:$L$71,3,FALSE)</f>
        <v>Dons et autres mises à dispositions gratuites</v>
      </c>
      <c r="R194" s="53" t="str">
        <f>VLOOKUP($N194,'2 CODIFICATION'!$G$5:$L$71,4,FALSE)</f>
        <v>pdts</v>
      </c>
      <c r="S194" s="53">
        <f>VLOOKUP($N194,'2 CODIFICATION'!$G$5:$L$71,5,FALSE)</f>
        <v>77</v>
      </c>
      <c r="T194" s="11" t="str">
        <f>VLOOKUP($N194,'2 CODIFICATION'!$G$5:$L$71,6,FALSE)</f>
        <v>Produits exceptionnels</v>
      </c>
    </row>
    <row r="195" spans="1:20" ht="14.5" hidden="1" customHeight="1">
      <c r="A195" s="194" t="s">
        <v>170</v>
      </c>
      <c r="B195" s="194" t="s">
        <v>79</v>
      </c>
      <c r="C195" s="192">
        <v>6337920</v>
      </c>
      <c r="D195" s="193">
        <v>44517</v>
      </c>
      <c r="E195" s="194" t="s">
        <v>378</v>
      </c>
      <c r="F195" s="194" t="s">
        <v>253</v>
      </c>
      <c r="G195" s="235">
        <v>20</v>
      </c>
      <c r="H195" s="224"/>
      <c r="I195" s="66">
        <f t="shared" si="18"/>
        <v>1377.8300000000027</v>
      </c>
      <c r="J195" s="74" t="s">
        <v>306</v>
      </c>
      <c r="K195" s="142">
        <v>7771</v>
      </c>
      <c r="L195" s="74" t="str">
        <f>VLOOKUP($J195,'2 CODIFICATION'!A$5:B$17,2,"FAUX")</f>
        <v>DASSOUTE TEUILLAC CANTINE</v>
      </c>
      <c r="M195" s="74" t="str">
        <f>VLOOKUP($K195,'2 CODIFICATION'!D$8:E$64,2,"FAUX")</f>
        <v>Dons et participations à l"association</v>
      </c>
      <c r="N195" s="45">
        <f t="shared" si="15"/>
        <v>777100</v>
      </c>
      <c r="O195" s="14">
        <f t="shared" si="16"/>
        <v>20</v>
      </c>
      <c r="P195" s="84">
        <f t="shared" si="17"/>
        <v>2021</v>
      </c>
      <c r="Q195" s="11" t="str">
        <f>VLOOKUP($N195,'2 CODIFICATION'!$G$5:$L$71,3,FALSE)</f>
        <v>Dons et autres mises à dispositions gratuites</v>
      </c>
      <c r="R195" s="53" t="str">
        <f>VLOOKUP($N195,'2 CODIFICATION'!$G$5:$L$71,4,FALSE)</f>
        <v>pdts</v>
      </c>
      <c r="S195" s="53">
        <f>VLOOKUP($N195,'2 CODIFICATION'!$G$5:$L$71,5,FALSE)</f>
        <v>77</v>
      </c>
      <c r="T195" s="11" t="str">
        <f>VLOOKUP($N195,'2 CODIFICATION'!$G$5:$L$71,6,FALSE)</f>
        <v>Produits exceptionnels</v>
      </c>
    </row>
    <row r="196" spans="1:20" ht="14.5" hidden="1" customHeight="1">
      <c r="A196" s="194" t="s">
        <v>170</v>
      </c>
      <c r="B196" s="194" t="s">
        <v>79</v>
      </c>
      <c r="C196" s="192">
        <v>4835893</v>
      </c>
      <c r="D196" s="193">
        <v>44521</v>
      </c>
      <c r="E196" s="194" t="s">
        <v>379</v>
      </c>
      <c r="F196" s="194" t="s">
        <v>253</v>
      </c>
      <c r="G196" s="235">
        <v>20</v>
      </c>
      <c r="H196" s="224"/>
      <c r="I196" s="66">
        <f t="shared" si="18"/>
        <v>1397.8300000000027</v>
      </c>
      <c r="J196" s="74" t="s">
        <v>306</v>
      </c>
      <c r="K196" s="142">
        <v>7771</v>
      </c>
      <c r="L196" s="74" t="str">
        <f>VLOOKUP($J196,'2 CODIFICATION'!A$5:B$17,2,"FAUX")</f>
        <v>DASSOUTE TEUILLAC CANTINE</v>
      </c>
      <c r="M196" s="74" t="str">
        <f>VLOOKUP($K196,'2 CODIFICATION'!D$8:E$64,2,"FAUX")</f>
        <v>Dons et participations à l"association</v>
      </c>
      <c r="N196" s="45">
        <f t="shared" si="15"/>
        <v>777100</v>
      </c>
      <c r="O196" s="14">
        <f t="shared" si="16"/>
        <v>20</v>
      </c>
      <c r="P196" s="84">
        <f t="shared" si="17"/>
        <v>2021</v>
      </c>
      <c r="Q196" s="11" t="str">
        <f>VLOOKUP($N196,'2 CODIFICATION'!$G$5:$L$71,3,FALSE)</f>
        <v>Dons et autres mises à dispositions gratuites</v>
      </c>
      <c r="R196" s="53" t="str">
        <f>VLOOKUP($N196,'2 CODIFICATION'!$G$5:$L$71,4,FALSE)</f>
        <v>pdts</v>
      </c>
      <c r="S196" s="53">
        <f>VLOOKUP($N196,'2 CODIFICATION'!$G$5:$L$71,5,FALSE)</f>
        <v>77</v>
      </c>
      <c r="T196" s="11" t="str">
        <f>VLOOKUP($N196,'2 CODIFICATION'!$G$5:$L$71,6,FALSE)</f>
        <v>Produits exceptionnels</v>
      </c>
    </row>
    <row r="197" spans="1:20" ht="14.5" hidden="1" customHeight="1">
      <c r="A197" s="194" t="s">
        <v>170</v>
      </c>
      <c r="B197" s="194" t="s">
        <v>79</v>
      </c>
      <c r="C197" s="192">
        <v>454666</v>
      </c>
      <c r="D197" s="193">
        <v>44530</v>
      </c>
      <c r="E197" s="194" t="s">
        <v>380</v>
      </c>
      <c r="F197" s="194" t="s">
        <v>253</v>
      </c>
      <c r="G197" s="235">
        <v>20</v>
      </c>
      <c r="H197" s="224"/>
      <c r="I197" s="66">
        <f t="shared" si="18"/>
        <v>1417.8300000000027</v>
      </c>
      <c r="J197" s="74" t="s">
        <v>306</v>
      </c>
      <c r="K197" s="142">
        <v>7771</v>
      </c>
      <c r="L197" s="74" t="str">
        <f>VLOOKUP($J197,'2 CODIFICATION'!A$5:B$17,2,"FAUX")</f>
        <v>DASSOUTE TEUILLAC CANTINE</v>
      </c>
      <c r="M197" s="74" t="str">
        <f>VLOOKUP($K197,'2 CODIFICATION'!D$8:E$64,2,"FAUX")</f>
        <v>Dons et participations à l"association</v>
      </c>
      <c r="N197" s="45">
        <f t="shared" si="15"/>
        <v>777100</v>
      </c>
      <c r="O197" s="14">
        <f t="shared" si="16"/>
        <v>20</v>
      </c>
      <c r="P197" s="84">
        <f t="shared" si="17"/>
        <v>2021</v>
      </c>
      <c r="Q197" s="11" t="str">
        <f>VLOOKUP($N197,'2 CODIFICATION'!$G$5:$L$71,3,FALSE)</f>
        <v>Dons et autres mises à dispositions gratuites</v>
      </c>
      <c r="R197" s="53" t="str">
        <f>VLOOKUP($N197,'2 CODIFICATION'!$G$5:$L$71,4,FALSE)</f>
        <v>pdts</v>
      </c>
      <c r="S197" s="53">
        <f>VLOOKUP($N197,'2 CODIFICATION'!$G$5:$L$71,5,FALSE)</f>
        <v>77</v>
      </c>
      <c r="T197" s="11" t="str">
        <f>VLOOKUP($N197,'2 CODIFICATION'!$G$5:$L$71,6,FALSE)</f>
        <v>Produits exceptionnels</v>
      </c>
    </row>
    <row r="198" spans="1:20" ht="14.5" hidden="1" customHeight="1">
      <c r="A198" s="194" t="s">
        <v>170</v>
      </c>
      <c r="B198" s="194" t="s">
        <v>79</v>
      </c>
      <c r="C198" s="192">
        <v>3063534</v>
      </c>
      <c r="D198" s="193">
        <v>44536</v>
      </c>
      <c r="E198" s="194" t="s">
        <v>381</v>
      </c>
      <c r="F198" s="194" t="s">
        <v>253</v>
      </c>
      <c r="G198" s="235">
        <v>20</v>
      </c>
      <c r="H198" s="224"/>
      <c r="I198" s="66">
        <f t="shared" si="18"/>
        <v>1437.8300000000027</v>
      </c>
      <c r="J198" s="74" t="s">
        <v>306</v>
      </c>
      <c r="K198" s="142">
        <v>7771</v>
      </c>
      <c r="L198" s="74" t="str">
        <f>VLOOKUP($J198,'2 CODIFICATION'!A$5:B$17,2,"FAUX")</f>
        <v>DASSOUTE TEUILLAC CANTINE</v>
      </c>
      <c r="M198" s="74" t="str">
        <f>VLOOKUP($K198,'2 CODIFICATION'!D$8:E$64,2,"FAUX")</f>
        <v>Dons et participations à l"association</v>
      </c>
      <c r="N198" s="45">
        <f t="shared" si="15"/>
        <v>777100</v>
      </c>
      <c r="O198" s="14">
        <f t="shared" si="16"/>
        <v>20</v>
      </c>
      <c r="P198" s="84">
        <f t="shared" si="17"/>
        <v>2021</v>
      </c>
      <c r="Q198" s="11" t="str">
        <f>VLOOKUP($N198,'2 CODIFICATION'!$G$5:$L$71,3,FALSE)</f>
        <v>Dons et autres mises à dispositions gratuites</v>
      </c>
      <c r="R198" s="53" t="str">
        <f>VLOOKUP($N198,'2 CODIFICATION'!$G$5:$L$71,4,FALSE)</f>
        <v>pdts</v>
      </c>
      <c r="S198" s="53">
        <f>VLOOKUP($N198,'2 CODIFICATION'!$G$5:$L$71,5,FALSE)</f>
        <v>77</v>
      </c>
      <c r="T198" s="11" t="str">
        <f>VLOOKUP($N198,'2 CODIFICATION'!$G$5:$L$71,6,FALSE)</f>
        <v>Produits exceptionnels</v>
      </c>
    </row>
    <row r="199" spans="1:20" ht="14.5" hidden="1" customHeight="1">
      <c r="A199" s="194" t="s">
        <v>170</v>
      </c>
      <c r="B199" s="194" t="s">
        <v>79</v>
      </c>
      <c r="C199" s="192">
        <v>233</v>
      </c>
      <c r="D199" s="193">
        <v>44531</v>
      </c>
      <c r="E199" s="194" t="s">
        <v>382</v>
      </c>
      <c r="F199" s="194" t="s">
        <v>253</v>
      </c>
      <c r="G199" s="235">
        <v>20</v>
      </c>
      <c r="H199" s="224"/>
      <c r="I199" s="66">
        <f t="shared" si="18"/>
        <v>1457.8300000000027</v>
      </c>
      <c r="J199" s="74" t="s">
        <v>306</v>
      </c>
      <c r="K199" s="142">
        <v>7771</v>
      </c>
      <c r="L199" s="74" t="str">
        <f>VLOOKUP($J199,'2 CODIFICATION'!A$5:B$17,2,"FAUX")</f>
        <v>DASSOUTE TEUILLAC CANTINE</v>
      </c>
      <c r="M199" s="74" t="str">
        <f>VLOOKUP($K199,'2 CODIFICATION'!D$8:E$64,2,"FAUX")</f>
        <v>Dons et participations à l"association</v>
      </c>
      <c r="N199" s="45">
        <f t="shared" si="15"/>
        <v>777100</v>
      </c>
      <c r="O199" s="14">
        <f t="shared" si="16"/>
        <v>20</v>
      </c>
      <c r="P199" s="84">
        <f t="shared" si="17"/>
        <v>2021</v>
      </c>
      <c r="Q199" s="11" t="str">
        <f>VLOOKUP($N199,'2 CODIFICATION'!$G$5:$L$71,3,FALSE)</f>
        <v>Dons et autres mises à dispositions gratuites</v>
      </c>
      <c r="R199" s="53" t="str">
        <f>VLOOKUP($N199,'2 CODIFICATION'!$G$5:$L$71,4,FALSE)</f>
        <v>pdts</v>
      </c>
      <c r="S199" s="53">
        <f>VLOOKUP($N199,'2 CODIFICATION'!$G$5:$L$71,5,FALSE)</f>
        <v>77</v>
      </c>
      <c r="T199" s="11" t="str">
        <f>VLOOKUP($N199,'2 CODIFICATION'!$G$5:$L$71,6,FALSE)</f>
        <v>Produits exceptionnels</v>
      </c>
    </row>
    <row r="200" spans="1:20" ht="14.5" hidden="1" customHeight="1">
      <c r="A200" s="194" t="s">
        <v>170</v>
      </c>
      <c r="B200" s="194" t="s">
        <v>79</v>
      </c>
      <c r="C200" s="192">
        <v>7141963</v>
      </c>
      <c r="D200" s="193">
        <v>44541</v>
      </c>
      <c r="E200" s="194" t="s">
        <v>383</v>
      </c>
      <c r="F200" s="194" t="s">
        <v>253</v>
      </c>
      <c r="G200" s="235">
        <v>20</v>
      </c>
      <c r="H200" s="224"/>
      <c r="I200" s="66">
        <f t="shared" si="18"/>
        <v>1477.8300000000027</v>
      </c>
      <c r="J200" s="74" t="s">
        <v>306</v>
      </c>
      <c r="K200" s="142">
        <v>7771</v>
      </c>
      <c r="L200" s="74" t="str">
        <f>VLOOKUP($J200,'2 CODIFICATION'!A$5:B$17,2,"FAUX")</f>
        <v>DASSOUTE TEUILLAC CANTINE</v>
      </c>
      <c r="M200" s="74" t="str">
        <f>VLOOKUP($K200,'2 CODIFICATION'!D$8:E$64,2,"FAUX")</f>
        <v>Dons et participations à l"association</v>
      </c>
      <c r="N200" s="45">
        <f t="shared" si="15"/>
        <v>777100</v>
      </c>
      <c r="O200" s="14">
        <f t="shared" si="16"/>
        <v>20</v>
      </c>
      <c r="P200" s="84">
        <f t="shared" si="17"/>
        <v>2021</v>
      </c>
      <c r="Q200" s="11" t="str">
        <f>VLOOKUP($N200,'2 CODIFICATION'!$G$5:$L$71,3,FALSE)</f>
        <v>Dons et autres mises à dispositions gratuites</v>
      </c>
      <c r="R200" s="53" t="str">
        <f>VLOOKUP($N200,'2 CODIFICATION'!$G$5:$L$71,4,FALSE)</f>
        <v>pdts</v>
      </c>
      <c r="S200" s="53">
        <f>VLOOKUP($N200,'2 CODIFICATION'!$G$5:$L$71,5,FALSE)</f>
        <v>77</v>
      </c>
      <c r="T200" s="11" t="str">
        <f>VLOOKUP($N200,'2 CODIFICATION'!$G$5:$L$71,6,FALSE)</f>
        <v>Produits exceptionnels</v>
      </c>
    </row>
    <row r="201" spans="1:20" ht="14.5" hidden="1" customHeight="1">
      <c r="A201" s="194" t="s">
        <v>170</v>
      </c>
      <c r="B201" s="194" t="s">
        <v>79</v>
      </c>
      <c r="C201" s="192">
        <v>2310</v>
      </c>
      <c r="D201" s="193">
        <v>44542</v>
      </c>
      <c r="E201" s="194" t="s">
        <v>384</v>
      </c>
      <c r="F201" s="194" t="s">
        <v>253</v>
      </c>
      <c r="G201" s="233">
        <v>20</v>
      </c>
      <c r="H201" s="224"/>
      <c r="I201" s="66">
        <f t="shared" si="18"/>
        <v>1497.8300000000027</v>
      </c>
      <c r="J201" s="196" t="s">
        <v>306</v>
      </c>
      <c r="K201" s="200">
        <v>7771</v>
      </c>
      <c r="L201" s="74" t="str">
        <f>VLOOKUP($J201,'2 CODIFICATION'!A$5:B$17,2,"FAUX")</f>
        <v>DASSOUTE TEUILLAC CANTINE</v>
      </c>
      <c r="M201" s="74" t="str">
        <f>VLOOKUP($K201,'2 CODIFICATION'!D$8:E$64,2,"FAUX")</f>
        <v>Dons et participations à l"association</v>
      </c>
      <c r="N201" s="45">
        <f t="shared" si="15"/>
        <v>777100</v>
      </c>
      <c r="O201" s="14">
        <f t="shared" si="16"/>
        <v>20</v>
      </c>
      <c r="P201" s="84">
        <f t="shared" si="17"/>
        <v>2021</v>
      </c>
      <c r="Q201" s="11" t="str">
        <f>VLOOKUP($N201,'2 CODIFICATION'!$G$5:$L$71,3,FALSE)</f>
        <v>Dons et autres mises à dispositions gratuites</v>
      </c>
      <c r="R201" s="53" t="str">
        <f>VLOOKUP($N201,'2 CODIFICATION'!$G$5:$L$71,4,FALSE)</f>
        <v>pdts</v>
      </c>
      <c r="S201" s="53">
        <f>VLOOKUP($N201,'2 CODIFICATION'!$G$5:$L$71,5,FALSE)</f>
        <v>77</v>
      </c>
      <c r="T201" s="11" t="str">
        <f>VLOOKUP($N201,'2 CODIFICATION'!$G$5:$L$71,6,FALSE)</f>
        <v>Produits exceptionnels</v>
      </c>
    </row>
    <row r="202" spans="1:20" ht="14.5" hidden="1" customHeight="1">
      <c r="A202" s="194" t="s">
        <v>170</v>
      </c>
      <c r="B202" s="194" t="s">
        <v>79</v>
      </c>
      <c r="C202" s="194">
        <v>536294</v>
      </c>
      <c r="D202" s="193">
        <v>44542</v>
      </c>
      <c r="E202" s="194" t="s">
        <v>385</v>
      </c>
      <c r="F202" s="194" t="s">
        <v>253</v>
      </c>
      <c r="G202" s="233">
        <v>100</v>
      </c>
      <c r="H202" s="224"/>
      <c r="I202" s="66">
        <f t="shared" si="18"/>
        <v>1597.8300000000027</v>
      </c>
      <c r="J202" s="196" t="s">
        <v>306</v>
      </c>
      <c r="K202" s="200">
        <v>7771</v>
      </c>
      <c r="L202" s="74" t="str">
        <f>VLOOKUP($J202,'2 CODIFICATION'!A$5:B$17,2,"FAUX")</f>
        <v>DASSOUTE TEUILLAC CANTINE</v>
      </c>
      <c r="M202" s="74" t="str">
        <f>VLOOKUP($K202,'2 CODIFICATION'!D$8:E$64,2,"FAUX")</f>
        <v>Dons et participations à l"association</v>
      </c>
      <c r="N202" s="45">
        <f t="shared" si="15"/>
        <v>777100</v>
      </c>
      <c r="O202" s="14">
        <f t="shared" si="16"/>
        <v>100</v>
      </c>
      <c r="P202" s="84">
        <f t="shared" si="17"/>
        <v>2021</v>
      </c>
      <c r="Q202" s="11" t="str">
        <f>VLOOKUP($N202,'2 CODIFICATION'!$G$5:$L$71,3,FALSE)</f>
        <v>Dons et autres mises à dispositions gratuites</v>
      </c>
      <c r="R202" s="53" t="str">
        <f>VLOOKUP($N202,'2 CODIFICATION'!$G$5:$L$71,4,FALSE)</f>
        <v>pdts</v>
      </c>
      <c r="S202" s="53">
        <f>VLOOKUP($N202,'2 CODIFICATION'!$G$5:$L$71,5,FALSE)</f>
        <v>77</v>
      </c>
      <c r="T202" s="11" t="str">
        <f>VLOOKUP($N202,'2 CODIFICATION'!$G$5:$L$71,6,FALSE)</f>
        <v>Produits exceptionnels</v>
      </c>
    </row>
    <row r="203" spans="1:20" ht="14.5" hidden="1" customHeight="1">
      <c r="A203" s="194" t="s">
        <v>170</v>
      </c>
      <c r="B203" s="194" t="s">
        <v>79</v>
      </c>
      <c r="C203" s="192">
        <v>3063533</v>
      </c>
      <c r="D203" s="193">
        <v>44536</v>
      </c>
      <c r="E203" s="194" t="s">
        <v>386</v>
      </c>
      <c r="F203" s="194" t="s">
        <v>253</v>
      </c>
      <c r="G203" s="233">
        <v>100</v>
      </c>
      <c r="H203" s="224"/>
      <c r="I203" s="66">
        <f t="shared" si="18"/>
        <v>1697.8300000000027</v>
      </c>
      <c r="J203" s="196" t="s">
        <v>306</v>
      </c>
      <c r="K203" s="200">
        <v>7771</v>
      </c>
      <c r="L203" s="74" t="str">
        <f>VLOOKUP($J203,'2 CODIFICATION'!A$5:B$17,2,"FAUX")</f>
        <v>DASSOUTE TEUILLAC CANTINE</v>
      </c>
      <c r="M203" s="74" t="str">
        <f>VLOOKUP($K203,'2 CODIFICATION'!D$8:E$64,2,"FAUX")</f>
        <v>Dons et participations à l"association</v>
      </c>
      <c r="N203" s="45">
        <f t="shared" si="15"/>
        <v>777100</v>
      </c>
      <c r="O203" s="14">
        <f t="shared" si="16"/>
        <v>100</v>
      </c>
      <c r="P203" s="84">
        <f t="shared" si="17"/>
        <v>2021</v>
      </c>
      <c r="Q203" s="11" t="str">
        <f>VLOOKUP($N203,'2 CODIFICATION'!$G$5:$L$71,3,FALSE)</f>
        <v>Dons et autres mises à dispositions gratuites</v>
      </c>
      <c r="R203" s="53" t="str">
        <f>VLOOKUP($N203,'2 CODIFICATION'!$G$5:$L$71,4,FALSE)</f>
        <v>pdts</v>
      </c>
      <c r="S203" s="53">
        <f>VLOOKUP($N203,'2 CODIFICATION'!$G$5:$L$71,5,FALSE)</f>
        <v>77</v>
      </c>
      <c r="T203" s="11" t="str">
        <f>VLOOKUP($N203,'2 CODIFICATION'!$G$5:$L$71,6,FALSE)</f>
        <v>Produits exceptionnels</v>
      </c>
    </row>
    <row r="204" spans="1:20" ht="14.5" hidden="1" customHeight="1">
      <c r="A204" s="194" t="s">
        <v>170</v>
      </c>
      <c r="B204" s="194" t="s">
        <v>79</v>
      </c>
      <c r="C204" s="192">
        <v>4835896</v>
      </c>
      <c r="D204" s="193">
        <v>44542</v>
      </c>
      <c r="E204" s="194" t="s">
        <v>387</v>
      </c>
      <c r="F204" s="194" t="s">
        <v>253</v>
      </c>
      <c r="G204" s="233">
        <v>50</v>
      </c>
      <c r="H204" s="224"/>
      <c r="I204" s="66">
        <f t="shared" si="18"/>
        <v>1747.8300000000027</v>
      </c>
      <c r="J204" s="196" t="s">
        <v>306</v>
      </c>
      <c r="K204" s="200">
        <v>7771</v>
      </c>
      <c r="L204" s="74" t="str">
        <f>VLOOKUP($J204,'2 CODIFICATION'!A$5:B$17,2,"FAUX")</f>
        <v>DASSOUTE TEUILLAC CANTINE</v>
      </c>
      <c r="M204" s="74" t="str">
        <f>VLOOKUP($K204,'2 CODIFICATION'!D$8:E$64,2,"FAUX")</f>
        <v>Dons et participations à l"association</v>
      </c>
      <c r="N204" s="45">
        <f t="shared" si="15"/>
        <v>777100</v>
      </c>
      <c r="O204" s="14">
        <f t="shared" si="16"/>
        <v>50</v>
      </c>
      <c r="P204" s="84">
        <f t="shared" si="17"/>
        <v>2021</v>
      </c>
      <c r="Q204" s="11" t="str">
        <f>VLOOKUP($N204,'2 CODIFICATION'!$G$5:$L$71,3,FALSE)</f>
        <v>Dons et autres mises à dispositions gratuites</v>
      </c>
      <c r="R204" s="53" t="str">
        <f>VLOOKUP($N204,'2 CODIFICATION'!$G$5:$L$71,4,FALSE)</f>
        <v>pdts</v>
      </c>
      <c r="S204" s="53">
        <f>VLOOKUP($N204,'2 CODIFICATION'!$G$5:$L$71,5,FALSE)</f>
        <v>77</v>
      </c>
      <c r="T204" s="11" t="str">
        <f>VLOOKUP($N204,'2 CODIFICATION'!$G$5:$L$71,6,FALSE)</f>
        <v>Produits exceptionnels</v>
      </c>
    </row>
    <row r="205" spans="1:20" ht="14.5" hidden="1" customHeight="1">
      <c r="A205" s="194" t="s">
        <v>170</v>
      </c>
      <c r="B205" s="194" t="s">
        <v>79</v>
      </c>
      <c r="C205" s="192">
        <v>991812</v>
      </c>
      <c r="D205" s="193">
        <v>44529</v>
      </c>
      <c r="E205" s="194" t="s">
        <v>388</v>
      </c>
      <c r="F205" s="194" t="s">
        <v>253</v>
      </c>
      <c r="G205" s="234">
        <v>50</v>
      </c>
      <c r="H205" s="224"/>
      <c r="I205" s="66">
        <f t="shared" si="18"/>
        <v>1797.8300000000027</v>
      </c>
      <c r="J205" s="196" t="s">
        <v>306</v>
      </c>
      <c r="K205" s="200">
        <v>7771</v>
      </c>
      <c r="L205" s="74" t="str">
        <f>VLOOKUP($J205,'2 CODIFICATION'!A$5:B$17,2,"FAUX")</f>
        <v>DASSOUTE TEUILLAC CANTINE</v>
      </c>
      <c r="M205" s="74" t="str">
        <f>VLOOKUP($K205,'2 CODIFICATION'!D$8:E$64,2,"FAUX")</f>
        <v>Dons et participations à l"association</v>
      </c>
      <c r="N205" s="45">
        <f t="shared" si="15"/>
        <v>777100</v>
      </c>
      <c r="O205" s="14">
        <f t="shared" si="16"/>
        <v>50</v>
      </c>
      <c r="P205" s="84">
        <f t="shared" si="17"/>
        <v>2021</v>
      </c>
      <c r="Q205" s="11" t="str">
        <f>VLOOKUP($N205,'2 CODIFICATION'!$G$5:$L$71,3,FALSE)</f>
        <v>Dons et autres mises à dispositions gratuites</v>
      </c>
      <c r="R205" s="53" t="str">
        <f>VLOOKUP($N205,'2 CODIFICATION'!$G$5:$L$71,4,FALSE)</f>
        <v>pdts</v>
      </c>
      <c r="S205" s="53">
        <f>VLOOKUP($N205,'2 CODIFICATION'!$G$5:$L$71,5,FALSE)</f>
        <v>77</v>
      </c>
      <c r="T205" s="11" t="str">
        <f>VLOOKUP($N205,'2 CODIFICATION'!$G$5:$L$71,6,FALSE)</f>
        <v>Produits exceptionnels</v>
      </c>
    </row>
    <row r="206" spans="1:20" ht="14.5" hidden="1" customHeight="1">
      <c r="A206" s="194" t="s">
        <v>170</v>
      </c>
      <c r="B206" s="194" t="s">
        <v>79</v>
      </c>
      <c r="C206" s="192">
        <v>2954363</v>
      </c>
      <c r="D206" s="193">
        <v>44535</v>
      </c>
      <c r="E206" s="194" t="s">
        <v>389</v>
      </c>
      <c r="F206" s="194" t="s">
        <v>253</v>
      </c>
      <c r="G206" s="234">
        <v>20</v>
      </c>
      <c r="H206" s="224"/>
      <c r="I206" s="66">
        <f t="shared" si="18"/>
        <v>1817.8300000000027</v>
      </c>
      <c r="J206" s="196" t="s">
        <v>306</v>
      </c>
      <c r="K206" s="200">
        <v>7771</v>
      </c>
      <c r="L206" s="74" t="str">
        <f>VLOOKUP($J206,'2 CODIFICATION'!A$5:B$17,2,"FAUX")</f>
        <v>DASSOUTE TEUILLAC CANTINE</v>
      </c>
      <c r="M206" s="74" t="str">
        <f>VLOOKUP($K206,'2 CODIFICATION'!D$8:E$64,2,"FAUX")</f>
        <v>Dons et participations à l"association</v>
      </c>
      <c r="N206" s="45">
        <f>+K206*100</f>
        <v>777100</v>
      </c>
      <c r="O206" s="14">
        <f>G206-H206</f>
        <v>20</v>
      </c>
      <c r="P206" s="84">
        <f>YEAR(D206)</f>
        <v>2021</v>
      </c>
      <c r="Q206" s="11" t="str">
        <f>VLOOKUP($N206,'2 CODIFICATION'!$G$5:$L$71,3,FALSE)</f>
        <v>Dons et autres mises à dispositions gratuites</v>
      </c>
      <c r="R206" s="53" t="str">
        <f>VLOOKUP($N206,'2 CODIFICATION'!$G$5:$L$71,4,FALSE)</f>
        <v>pdts</v>
      </c>
      <c r="S206" s="53">
        <f>VLOOKUP($N206,'2 CODIFICATION'!$G$5:$L$71,5,FALSE)</f>
        <v>77</v>
      </c>
      <c r="T206" s="11" t="str">
        <f>VLOOKUP($N206,'2 CODIFICATION'!$G$5:$L$71,6,FALSE)</f>
        <v>Produits exceptionnels</v>
      </c>
    </row>
    <row r="207" spans="1:20" ht="14.5" hidden="1" customHeight="1">
      <c r="A207" s="194" t="s">
        <v>170</v>
      </c>
      <c r="B207" s="194" t="s">
        <v>79</v>
      </c>
      <c r="C207" s="192">
        <v>2954363</v>
      </c>
      <c r="D207" s="193">
        <v>44535</v>
      </c>
      <c r="E207" s="236" t="s">
        <v>390</v>
      </c>
      <c r="F207" s="194" t="s">
        <v>253</v>
      </c>
      <c r="G207" s="234">
        <v>30</v>
      </c>
      <c r="H207" s="224"/>
      <c r="I207" s="66">
        <f t="shared" si="18"/>
        <v>1847.8300000000027</v>
      </c>
      <c r="J207" s="196" t="s">
        <v>306</v>
      </c>
      <c r="K207" s="200">
        <v>7771</v>
      </c>
      <c r="L207" s="74" t="str">
        <f>VLOOKUP($J207,'2 CODIFICATION'!A$5:B$17,2,"FAUX")</f>
        <v>DASSOUTE TEUILLAC CANTINE</v>
      </c>
      <c r="M207" s="74" t="str">
        <f>VLOOKUP($K207,'2 CODIFICATION'!D$8:E$64,2,"FAUX")</f>
        <v>Dons et participations à l"association</v>
      </c>
      <c r="N207" s="45">
        <f t="shared" si="15"/>
        <v>777100</v>
      </c>
      <c r="O207" s="14">
        <f t="shared" si="16"/>
        <v>30</v>
      </c>
      <c r="P207" s="84">
        <f t="shared" si="17"/>
        <v>2021</v>
      </c>
      <c r="Q207" s="11" t="str">
        <f>VLOOKUP($N207,'2 CODIFICATION'!$G$5:$L$71,3,FALSE)</f>
        <v>Dons et autres mises à dispositions gratuites</v>
      </c>
      <c r="R207" s="53" t="str">
        <f>VLOOKUP($N207,'2 CODIFICATION'!$G$5:$L$71,4,FALSE)</f>
        <v>pdts</v>
      </c>
      <c r="S207" s="53">
        <f>VLOOKUP($N207,'2 CODIFICATION'!$G$5:$L$71,5,FALSE)</f>
        <v>77</v>
      </c>
      <c r="T207" s="11" t="str">
        <f>VLOOKUP($N207,'2 CODIFICATION'!$G$5:$L$71,6,FALSE)</f>
        <v>Produits exceptionnels</v>
      </c>
    </row>
    <row r="208" spans="1:20" ht="14.5" hidden="1" customHeight="1">
      <c r="A208" s="194" t="s">
        <v>170</v>
      </c>
      <c r="B208" s="195" t="s">
        <v>207</v>
      </c>
      <c r="C208" s="192"/>
      <c r="D208" s="193">
        <v>44542</v>
      </c>
      <c r="E208" s="194" t="s">
        <v>390</v>
      </c>
      <c r="F208" s="194" t="s">
        <v>253</v>
      </c>
      <c r="G208" s="232">
        <v>240</v>
      </c>
      <c r="H208" s="224"/>
      <c r="I208" s="66">
        <f t="shared" si="18"/>
        <v>2087.8300000000027</v>
      </c>
      <c r="J208" s="196" t="s">
        <v>306</v>
      </c>
      <c r="K208" s="200">
        <v>7771</v>
      </c>
      <c r="L208" s="74" t="str">
        <f>VLOOKUP($J208,'2 CODIFICATION'!A$5:B$17,2,"FAUX")</f>
        <v>DASSOUTE TEUILLAC CANTINE</v>
      </c>
      <c r="M208" s="74" t="str">
        <f>VLOOKUP($K208,'2 CODIFICATION'!D$8:E$64,2,"FAUX")</f>
        <v>Dons et participations à l"association</v>
      </c>
      <c r="N208" s="45">
        <f t="shared" si="15"/>
        <v>777100</v>
      </c>
      <c r="O208" s="14">
        <f t="shared" si="16"/>
        <v>240</v>
      </c>
      <c r="P208" s="84">
        <f t="shared" si="17"/>
        <v>2021</v>
      </c>
      <c r="Q208" s="11" t="str">
        <f>VLOOKUP($N208,'2 CODIFICATION'!$G$5:$L$71,3,FALSE)</f>
        <v>Dons et autres mises à dispositions gratuites</v>
      </c>
      <c r="R208" s="53" t="str">
        <f>VLOOKUP($N208,'2 CODIFICATION'!$G$5:$L$71,4,FALSE)</f>
        <v>pdts</v>
      </c>
      <c r="S208" s="53">
        <f>VLOOKUP($N208,'2 CODIFICATION'!$G$5:$L$71,5,FALSE)</f>
        <v>77</v>
      </c>
      <c r="T208" s="11" t="str">
        <f>VLOOKUP($N208,'2 CODIFICATION'!$G$5:$L$71,6,FALSE)</f>
        <v>Produits exceptionnels</v>
      </c>
    </row>
    <row r="209" spans="1:20" ht="14.5" hidden="1" customHeight="1">
      <c r="A209" s="208" t="s">
        <v>170</v>
      </c>
      <c r="B209" s="208" t="s">
        <v>79</v>
      </c>
      <c r="C209" s="209"/>
      <c r="D209" s="212">
        <v>44550</v>
      </c>
      <c r="E209" s="211" t="s">
        <v>393</v>
      </c>
      <c r="F209" s="208" t="s">
        <v>253</v>
      </c>
      <c r="G209" s="223">
        <v>250</v>
      </c>
      <c r="H209" s="226"/>
      <c r="I209" s="66">
        <f t="shared" si="18"/>
        <v>2337.8300000000027</v>
      </c>
      <c r="J209" s="196" t="s">
        <v>273</v>
      </c>
      <c r="K209" s="200">
        <v>5120</v>
      </c>
      <c r="L209" s="74" t="str">
        <f>VLOOKUP($J209,'2 CODIFICATION'!A$5:B$17,2,"FAUX")</f>
        <v>ADMINIST ET FONCT</v>
      </c>
      <c r="M209" s="74" t="str">
        <f>VLOOKUP($K209,'2 CODIFICATION'!D$8:E$64,2,"FAUX")</f>
        <v>Banque</v>
      </c>
      <c r="N209" s="45">
        <f t="shared" ref="N209:N216" si="19">+K209*100</f>
        <v>512000</v>
      </c>
      <c r="O209" s="14">
        <f>G209-H209</f>
        <v>250</v>
      </c>
      <c r="P209" s="84">
        <f>YEAR(D209)</f>
        <v>2021</v>
      </c>
      <c r="Q209" s="11" t="str">
        <f>VLOOKUP($N209,'2 CODIFICATION'!$G$5:$L$71,3,FALSE)</f>
        <v>Banque</v>
      </c>
      <c r="R209" s="53" t="str">
        <f>VLOOKUP($N209,'2 CODIFICATION'!$G$5:$L$71,4,FALSE)</f>
        <v>bilan</v>
      </c>
      <c r="S209" s="53">
        <f>VLOOKUP($N209,'2 CODIFICATION'!$G$5:$L$71,5,FALSE)</f>
        <v>50</v>
      </c>
      <c r="T209" s="11" t="str">
        <f>VLOOKUP($N209,'2 CODIFICATION'!$G$5:$L$71,6,FALSE)</f>
        <v>Trésorerie</v>
      </c>
    </row>
    <row r="210" spans="1:20" ht="14.5" hidden="1" customHeight="1">
      <c r="A210" s="208" t="s">
        <v>170</v>
      </c>
      <c r="B210" s="211" t="s">
        <v>207</v>
      </c>
      <c r="C210" s="209"/>
      <c r="D210" s="212">
        <v>44550</v>
      </c>
      <c r="E210" s="211" t="s">
        <v>393</v>
      </c>
      <c r="F210" s="208" t="s">
        <v>253</v>
      </c>
      <c r="G210" s="223"/>
      <c r="H210" s="226">
        <v>250</v>
      </c>
      <c r="I210" s="66">
        <f t="shared" si="18"/>
        <v>2087.8300000000027</v>
      </c>
      <c r="J210" s="196" t="s">
        <v>273</v>
      </c>
      <c r="K210" s="200">
        <v>5300</v>
      </c>
      <c r="L210" s="74" t="str">
        <f>VLOOKUP($J210,'2 CODIFICATION'!A$5:B$17,2,"FAUX")</f>
        <v>ADMINIST ET FONCT</v>
      </c>
      <c r="M210" s="74" t="str">
        <f>VLOOKUP($K210,'2 CODIFICATION'!D$8:E$64,2,"FAUX")</f>
        <v>Caisse</v>
      </c>
      <c r="N210" s="45">
        <f t="shared" si="19"/>
        <v>530000</v>
      </c>
      <c r="O210" s="14">
        <f>G210-H210</f>
        <v>-250</v>
      </c>
      <c r="P210" s="84">
        <f>YEAR(D210)</f>
        <v>2021</v>
      </c>
      <c r="Q210" s="11" t="str">
        <f>VLOOKUP($N210,'2 CODIFICATION'!$G$5:$L$71,3,FALSE)</f>
        <v>Caisse</v>
      </c>
      <c r="R210" s="53" t="str">
        <f>VLOOKUP($N210,'2 CODIFICATION'!$G$5:$L$71,4,FALSE)</f>
        <v>bilan</v>
      </c>
      <c r="S210" s="53">
        <f>VLOOKUP($N210,'2 CODIFICATION'!$G$5:$L$71,5,FALSE)</f>
        <v>50</v>
      </c>
      <c r="T210" s="11" t="str">
        <f>VLOOKUP($N210,'2 CODIFICATION'!$G$5:$L$71,6,FALSE)</f>
        <v>Trésorerie</v>
      </c>
    </row>
    <row r="211" spans="1:20" ht="21.5" hidden="1" customHeight="1">
      <c r="A211" s="208" t="s">
        <v>170</v>
      </c>
      <c r="B211" s="208" t="s">
        <v>79</v>
      </c>
      <c r="C211" s="209"/>
      <c r="D211" s="212">
        <v>44530</v>
      </c>
      <c r="E211" s="210" t="s">
        <v>392</v>
      </c>
      <c r="F211" s="208" t="s">
        <v>253</v>
      </c>
      <c r="G211" s="222"/>
      <c r="H211" s="226">
        <v>3.8</v>
      </c>
      <c r="I211" s="66">
        <f t="shared" si="18"/>
        <v>2084.0300000000025</v>
      </c>
      <c r="J211" s="196" t="s">
        <v>273</v>
      </c>
      <c r="K211" s="22">
        <v>6270</v>
      </c>
      <c r="L211" s="74" t="str">
        <f>VLOOKUP($J211,'2 CODIFICATION'!A$5:B$17,2,"FAUX")</f>
        <v>ADMINIST ET FONCT</v>
      </c>
      <c r="M211" s="74" t="str">
        <f>VLOOKUP($K211,'2 CODIFICATION'!D$8:E$64,2,"FAUX")</f>
        <v>Frais de banque</v>
      </c>
      <c r="N211" s="45">
        <f t="shared" si="19"/>
        <v>627000</v>
      </c>
      <c r="O211" s="14">
        <f>G211-H211</f>
        <v>-3.8</v>
      </c>
      <c r="P211" s="84">
        <f>YEAR(D211)</f>
        <v>2021</v>
      </c>
      <c r="Q211" s="11" t="str">
        <f>VLOOKUP($N211,'2 CODIFICATION'!$G$5:$L$71,3,FALSE)</f>
        <v>Frais bancaires</v>
      </c>
      <c r="R211" s="53" t="str">
        <f>VLOOKUP($N211,'2 CODIFICATION'!$G$5:$L$71,4,FALSE)</f>
        <v>chges</v>
      </c>
      <c r="S211" s="53">
        <f>VLOOKUP($N211,'2 CODIFICATION'!$G$5:$L$71,5,FALSE)</f>
        <v>62</v>
      </c>
      <c r="T211" s="11" t="str">
        <f>VLOOKUP($N211,'2 CODIFICATION'!$G$5:$L$71,6,FALSE)</f>
        <v>Autres services extérieurs</v>
      </c>
    </row>
    <row r="212" spans="1:20" s="61" customFormat="1" ht="14.5" hidden="1" customHeight="1">
      <c r="A212" s="61" t="s">
        <v>170</v>
      </c>
      <c r="B212" s="61" t="s">
        <v>82</v>
      </c>
      <c r="C212" s="152">
        <f>1+C210</f>
        <v>1</v>
      </c>
      <c r="D212" s="153">
        <v>44561</v>
      </c>
      <c r="E212" s="152" t="s">
        <v>397</v>
      </c>
      <c r="F212" s="152"/>
      <c r="G212" s="159">
        <v>0</v>
      </c>
      <c r="H212" s="160">
        <v>-159.19999999999999</v>
      </c>
      <c r="I212" s="66">
        <f t="shared" si="18"/>
        <v>2243.2300000000023</v>
      </c>
      <c r="J212" s="162" t="s">
        <v>232</v>
      </c>
      <c r="K212" s="158">
        <v>6070</v>
      </c>
      <c r="L212" s="74" t="str">
        <f>VLOOKUP($J212,'2 CODIFICATION'!A$5:B$17,2,"FAUX")</f>
        <v>DASSOUTE TEUILLAC CONST ECOLE</v>
      </c>
      <c r="M212" s="20" t="str">
        <f>VLOOKUP($K212,'2 CODIFICATION'!D$8:E$64,2,"FAUX")</f>
        <v>Achats matériaux</v>
      </c>
      <c r="N212" s="28">
        <f t="shared" si="19"/>
        <v>607000</v>
      </c>
      <c r="O212" s="14">
        <f t="shared" ref="O212:O269" si="20">G212-H212</f>
        <v>159.19999999999999</v>
      </c>
      <c r="P212" s="84">
        <f t="shared" ref="P212:P269" si="21">YEAR(D212)</f>
        <v>2021</v>
      </c>
      <c r="Q212" s="11" t="str">
        <f>VLOOKUP($N212,'2 CODIFICATION'!$G$5:$L$71,3,FALSE)</f>
        <v>Achats matériaux</v>
      </c>
      <c r="R212" s="53" t="str">
        <f>VLOOKUP($N212,'2 CODIFICATION'!$G$5:$L$71,4,FALSE)</f>
        <v>chges</v>
      </c>
      <c r="S212" s="53">
        <f>VLOOKUP($N212,'2 CODIFICATION'!$G$5:$L$71,5,FALSE)</f>
        <v>60</v>
      </c>
      <c r="T212" s="11" t="str">
        <f>VLOOKUP($N212,'2 CODIFICATION'!$G$5:$L$71,6,FALSE)</f>
        <v>Achat</v>
      </c>
    </row>
    <row r="213" spans="1:20" s="61" customFormat="1" ht="14.5" hidden="1" customHeight="1">
      <c r="A213" s="61" t="s">
        <v>170</v>
      </c>
      <c r="B213" s="61" t="s">
        <v>82</v>
      </c>
      <c r="C213" s="152">
        <f>1+C211</f>
        <v>1</v>
      </c>
      <c r="D213" s="153">
        <v>44561</v>
      </c>
      <c r="E213" s="152" t="s">
        <v>397</v>
      </c>
      <c r="F213" s="155"/>
      <c r="G213" s="156"/>
      <c r="H213" s="157">
        <v>7.3</v>
      </c>
      <c r="I213" s="66">
        <f t="shared" si="18"/>
        <v>2235.9300000000021</v>
      </c>
      <c r="J213" s="165" t="s">
        <v>307</v>
      </c>
      <c r="K213" s="158">
        <v>6070</v>
      </c>
      <c r="L213" s="74" t="str">
        <f>VLOOKUP($J213,'2 CODIFICATION'!A$5:B$17,2,"FAUX")</f>
        <v>DASSOUTE TEUILLAC FOURN SCOLAIRES</v>
      </c>
      <c r="M213" s="20" t="str">
        <f>VLOOKUP($K213,'2 CODIFICATION'!D$8:E$64,2,"FAUX")</f>
        <v>Achats matériaux</v>
      </c>
      <c r="N213" s="28">
        <f t="shared" si="19"/>
        <v>607000</v>
      </c>
      <c r="O213" s="14">
        <f t="shared" si="20"/>
        <v>-7.3</v>
      </c>
      <c r="P213" s="84">
        <f t="shared" si="21"/>
        <v>2021</v>
      </c>
      <c r="Q213" s="11" t="str">
        <f>VLOOKUP($N213,'2 CODIFICATION'!$G$5:$L$71,3,FALSE)</f>
        <v>Achats matériaux</v>
      </c>
      <c r="R213" s="53" t="str">
        <f>VLOOKUP($N213,'2 CODIFICATION'!$G$5:$L$71,4,FALSE)</f>
        <v>chges</v>
      </c>
      <c r="S213" s="53">
        <f>VLOOKUP($N213,'2 CODIFICATION'!$G$5:$L$71,5,FALSE)</f>
        <v>60</v>
      </c>
      <c r="T213" s="11" t="str">
        <f>VLOOKUP($N213,'2 CODIFICATION'!$G$5:$L$71,6,FALSE)</f>
        <v>Achat</v>
      </c>
    </row>
    <row r="214" spans="1:20" s="61" customFormat="1" ht="14.5" hidden="1" customHeight="1">
      <c r="A214" s="61" t="s">
        <v>170</v>
      </c>
      <c r="B214" s="61" t="s">
        <v>82</v>
      </c>
      <c r="C214" s="152">
        <f>1+C212</f>
        <v>2</v>
      </c>
      <c r="D214" s="153">
        <v>44561</v>
      </c>
      <c r="E214" s="152" t="s">
        <v>397</v>
      </c>
      <c r="F214" s="155"/>
      <c r="G214" s="156"/>
      <c r="H214" s="157">
        <f>159.2-7.3</f>
        <v>151.89999999999998</v>
      </c>
      <c r="I214" s="66">
        <f t="shared" si="18"/>
        <v>2084.030000000002</v>
      </c>
      <c r="J214" s="165" t="s">
        <v>234</v>
      </c>
      <c r="K214" s="158">
        <v>6070</v>
      </c>
      <c r="L214" s="74" t="str">
        <f>VLOOKUP($J214,'2 CODIFICATION'!A$5:B$17,2,"FAUX")</f>
        <v>DASSOUTE TEUILLAC COLLEGE</v>
      </c>
      <c r="M214" s="20" t="str">
        <f>VLOOKUP($K214,'2 CODIFICATION'!D$8:E$64,2,"FAUX")</f>
        <v>Achats matériaux</v>
      </c>
      <c r="N214" s="28">
        <f t="shared" si="19"/>
        <v>607000</v>
      </c>
      <c r="O214" s="14">
        <f t="shared" si="20"/>
        <v>-151.89999999999998</v>
      </c>
      <c r="P214" s="84">
        <f t="shared" si="21"/>
        <v>2021</v>
      </c>
      <c r="Q214" s="11" t="str">
        <f>VLOOKUP($N214,'2 CODIFICATION'!$G$5:$L$71,3,FALSE)</f>
        <v>Achats matériaux</v>
      </c>
      <c r="R214" s="53" t="str">
        <f>VLOOKUP($N214,'2 CODIFICATION'!$G$5:$L$71,4,FALSE)</f>
        <v>chges</v>
      </c>
      <c r="S214" s="53">
        <f>VLOOKUP($N214,'2 CODIFICATION'!$G$5:$L$71,5,FALSE)</f>
        <v>60</v>
      </c>
      <c r="T214" s="11" t="str">
        <f>VLOOKUP($N214,'2 CODIFICATION'!$G$5:$L$71,6,FALSE)</f>
        <v>Achat</v>
      </c>
    </row>
    <row r="215" spans="1:20" ht="14.5" hidden="1" customHeight="1">
      <c r="A215" s="194" t="s">
        <v>170</v>
      </c>
      <c r="B215" s="261" t="s">
        <v>82</v>
      </c>
      <c r="C215" s="192"/>
      <c r="D215" s="193">
        <v>44561</v>
      </c>
      <c r="E215" s="262" t="s">
        <v>408</v>
      </c>
      <c r="F215" s="194" t="s">
        <v>253</v>
      </c>
      <c r="G215" s="232">
        <v>6602</v>
      </c>
      <c r="H215" s="224"/>
      <c r="I215" s="66">
        <f t="shared" si="18"/>
        <v>8686.0300000000025</v>
      </c>
      <c r="J215" s="196" t="s">
        <v>234</v>
      </c>
      <c r="K215" s="200">
        <v>8710</v>
      </c>
      <c r="L215" s="74" t="str">
        <f>VLOOKUP($J215,'2 CODIFICATION'!A$5:B$17,2,"FAUX")</f>
        <v>DASSOUTE TEUILLAC COLLEGE</v>
      </c>
      <c r="M215" s="74" t="str">
        <f>VLOOKUP($K215,'2 CODIFICATION'!D$8:E$64,2,"FAUX")</f>
        <v>Prestations en nature</v>
      </c>
      <c r="N215" s="45">
        <f t="shared" si="19"/>
        <v>871000</v>
      </c>
      <c r="O215" s="14">
        <f t="shared" si="20"/>
        <v>6602</v>
      </c>
      <c r="P215" s="84">
        <f t="shared" si="21"/>
        <v>2021</v>
      </c>
      <c r="Q215" s="11" t="str">
        <f>VLOOKUP($N215,'2 CODIFICATION'!$G$5:$L$71,3,FALSE)</f>
        <v>Prestations en nature</v>
      </c>
      <c r="R215" s="53" t="str">
        <f>VLOOKUP($N215,'2 CODIFICATION'!$G$5:$L$71,4,FALSE)</f>
        <v>pdts</v>
      </c>
      <c r="S215" s="53">
        <f>VLOOKUP($N215,'2 CODIFICATION'!$G$5:$L$71,5,FALSE)</f>
        <v>87</v>
      </c>
      <c r="T215" s="11" t="str">
        <f>VLOOKUP($N215,'2 CODIFICATION'!$G$5:$L$71,6,FALSE)</f>
        <v>Contributions volontaires</v>
      </c>
    </row>
    <row r="216" spans="1:20" ht="14.5" hidden="1" customHeight="1">
      <c r="A216" s="194" t="s">
        <v>170</v>
      </c>
      <c r="B216" s="261" t="s">
        <v>82</v>
      </c>
      <c r="C216" s="192"/>
      <c r="D216" s="193">
        <v>44561</v>
      </c>
      <c r="E216" s="262" t="s">
        <v>408</v>
      </c>
      <c r="F216" s="194" t="s">
        <v>253</v>
      </c>
      <c r="G216" s="232"/>
      <c r="H216" s="224">
        <v>6602</v>
      </c>
      <c r="I216" s="66">
        <f t="shared" si="18"/>
        <v>2084.0300000000025</v>
      </c>
      <c r="J216" s="196" t="s">
        <v>234</v>
      </c>
      <c r="K216" s="200">
        <v>8620</v>
      </c>
      <c r="L216" s="74" t="str">
        <f>VLOOKUP($J216,'2 CODIFICATION'!A$5:B$17,2,"FAUX")</f>
        <v>DASSOUTE TEUILLAC COLLEGE</v>
      </c>
      <c r="M216" s="74" t="str">
        <f>VLOOKUP($K216,'2 CODIFICATION'!D$8:E$64,2,"FAUX")</f>
        <v>Prestations</v>
      </c>
      <c r="N216" s="45">
        <f t="shared" si="19"/>
        <v>862000</v>
      </c>
      <c r="O216" s="14">
        <f t="shared" si="20"/>
        <v>-6602</v>
      </c>
      <c r="P216" s="84">
        <f t="shared" si="21"/>
        <v>2021</v>
      </c>
      <c r="Q216" s="11" t="str">
        <f>VLOOKUP($N216,'2 CODIFICATION'!$G$5:$L$71,3,FALSE)</f>
        <v>Prestations</v>
      </c>
      <c r="R216" s="53" t="str">
        <f>VLOOKUP($N216,'2 CODIFICATION'!$G$5:$L$71,4,FALSE)</f>
        <v>chges</v>
      </c>
      <c r="S216" s="53">
        <f>VLOOKUP($N216,'2 CODIFICATION'!$G$5:$L$71,5,FALSE)</f>
        <v>86</v>
      </c>
      <c r="T216" s="11" t="str">
        <f>VLOOKUP($N216,'2 CODIFICATION'!$G$5:$L$71,6,FALSE)</f>
        <v>Emplois des contributions volontaires</v>
      </c>
    </row>
    <row r="217" spans="1:20" s="201" customFormat="1" ht="15" hidden="1" customHeight="1">
      <c r="A217" s="201" t="s">
        <v>170</v>
      </c>
      <c r="B217" s="201" t="s">
        <v>79</v>
      </c>
      <c r="C217" s="202"/>
      <c r="D217" s="268">
        <v>44561</v>
      </c>
      <c r="E217" s="204" t="s">
        <v>194</v>
      </c>
      <c r="F217" s="203"/>
      <c r="G217" s="205">
        <v>4000</v>
      </c>
      <c r="H217" s="206"/>
      <c r="I217" s="66">
        <f t="shared" si="18"/>
        <v>6084.0300000000025</v>
      </c>
      <c r="J217" s="74" t="s">
        <v>198</v>
      </c>
      <c r="K217" s="74">
        <f>N217/100</f>
        <v>8700</v>
      </c>
      <c r="L217" s="74" t="str">
        <f>VLOOKUP($J217,'2 CODIFICATION'!A$5:B$17,2,"FAUX")</f>
        <v>HYGIENE MENSTRUELLE</v>
      </c>
      <c r="M217" s="74" t="str">
        <f>VLOOKUP($K217,'2 CODIFICATION'!D$8:E$64,2,"FAUX")</f>
        <v>Bénévolat</v>
      </c>
      <c r="N217" s="269">
        <v>870000</v>
      </c>
      <c r="O217" s="206">
        <f t="shared" si="20"/>
        <v>4000</v>
      </c>
      <c r="P217" s="74">
        <f t="shared" si="21"/>
        <v>2021</v>
      </c>
      <c r="Q217" s="270" t="str">
        <f>VLOOKUP($N217,'2 CODIFICATION'!$G$5:$L$71,3,FALSE)</f>
        <v>Bénévolat</v>
      </c>
      <c r="R217" s="271" t="str">
        <f>VLOOKUP($N217,'2 CODIFICATION'!$G$5:$L$71,4,FALSE)</f>
        <v>pdts</v>
      </c>
      <c r="S217" s="271">
        <f>VLOOKUP($N217,'2 CODIFICATION'!$G$5:$L$71,5,FALSE)</f>
        <v>87</v>
      </c>
      <c r="T217" s="270" t="str">
        <f>VLOOKUP($N217,'2 CODIFICATION'!$G$5:$L$71,6,FALSE)</f>
        <v>Contributions volontaires</v>
      </c>
    </row>
    <row r="218" spans="1:20" s="201" customFormat="1" ht="15" hidden="1" customHeight="1">
      <c r="A218" s="201" t="s">
        <v>170</v>
      </c>
      <c r="B218" s="201" t="s">
        <v>79</v>
      </c>
      <c r="C218" s="202"/>
      <c r="D218" s="268">
        <v>44561</v>
      </c>
      <c r="E218" s="204" t="s">
        <v>196</v>
      </c>
      <c r="F218" s="203"/>
      <c r="G218" s="205">
        <v>8440</v>
      </c>
      <c r="H218" s="206"/>
      <c r="I218" s="66">
        <f t="shared" si="18"/>
        <v>14524.030000000002</v>
      </c>
      <c r="J218" s="74" t="s">
        <v>273</v>
      </c>
      <c r="K218" s="74">
        <f>N218/100</f>
        <v>8700</v>
      </c>
      <c r="L218" s="74" t="str">
        <f>VLOOKUP($J218,'2 CODIFICATION'!A$5:B$17,2,"FAUX")</f>
        <v>ADMINIST ET FONCT</v>
      </c>
      <c r="M218" s="74" t="str">
        <f>VLOOKUP($K218,'2 CODIFICATION'!D$8:E$64,2,"FAUX")</f>
        <v>Bénévolat</v>
      </c>
      <c r="N218" s="269">
        <v>870000</v>
      </c>
      <c r="O218" s="206">
        <f t="shared" si="20"/>
        <v>8440</v>
      </c>
      <c r="P218" s="74">
        <f t="shared" si="21"/>
        <v>2021</v>
      </c>
      <c r="Q218" s="270" t="str">
        <f>VLOOKUP($N218,'2 CODIFICATION'!$G$5:$L$71,3,FALSE)</f>
        <v>Bénévolat</v>
      </c>
      <c r="R218" s="271" t="str">
        <f>VLOOKUP($N218,'2 CODIFICATION'!$G$5:$L$71,4,FALSE)</f>
        <v>pdts</v>
      </c>
      <c r="S218" s="271">
        <f>VLOOKUP($N218,'2 CODIFICATION'!$G$5:$L$71,5,FALSE)</f>
        <v>87</v>
      </c>
      <c r="T218" s="270" t="str">
        <f>VLOOKUP($N218,'2 CODIFICATION'!$G$5:$L$71,6,FALSE)</f>
        <v>Contributions volontaires</v>
      </c>
    </row>
    <row r="219" spans="1:20" s="201" customFormat="1" ht="15" hidden="1" customHeight="1">
      <c r="A219" s="201" t="s">
        <v>170</v>
      </c>
      <c r="B219" s="201" t="s">
        <v>79</v>
      </c>
      <c r="C219" s="202"/>
      <c r="D219" s="268">
        <v>44561</v>
      </c>
      <c r="E219" s="202" t="s">
        <v>193</v>
      </c>
      <c r="F219" s="172"/>
      <c r="G219" s="205"/>
      <c r="H219" s="206">
        <v>4000</v>
      </c>
      <c r="I219" s="66">
        <f t="shared" si="18"/>
        <v>10524.030000000002</v>
      </c>
      <c r="J219" s="74" t="s">
        <v>198</v>
      </c>
      <c r="K219" s="74">
        <f>N219/100</f>
        <v>8640</v>
      </c>
      <c r="L219" s="74" t="str">
        <f>VLOOKUP($J219,'2 CODIFICATION'!A$5:B$17,2,"FAUX")</f>
        <v>HYGIENE MENSTRUELLE</v>
      </c>
      <c r="M219" s="74" t="str">
        <f>VLOOKUP($K219,'2 CODIFICATION'!D$8:E$64,2,"FAUX")</f>
        <v>Personnels bénévoles</v>
      </c>
      <c r="N219" s="272">
        <v>864000</v>
      </c>
      <c r="O219" s="206">
        <f t="shared" si="20"/>
        <v>-4000</v>
      </c>
      <c r="P219" s="74">
        <f t="shared" si="21"/>
        <v>2021</v>
      </c>
      <c r="Q219" s="270" t="str">
        <f>VLOOKUP($N219,'2 CODIFICATION'!$G$5:$L$71,3,FALSE)</f>
        <v>Personnels bénévoles</v>
      </c>
      <c r="R219" s="271" t="str">
        <f>VLOOKUP($N219,'2 CODIFICATION'!$G$5:$L$71,4,FALSE)</f>
        <v>chges</v>
      </c>
      <c r="S219" s="271">
        <f>VLOOKUP($N219,'2 CODIFICATION'!$G$5:$L$71,5,FALSE)</f>
        <v>86</v>
      </c>
      <c r="T219" s="270" t="str">
        <f>VLOOKUP($N219,'2 CODIFICATION'!$G$5:$L$71,6,FALSE)</f>
        <v>Contributions volontaires</v>
      </c>
    </row>
    <row r="220" spans="1:20" s="201" customFormat="1" ht="15" hidden="1" customHeight="1">
      <c r="A220" s="201" t="s">
        <v>170</v>
      </c>
      <c r="B220" s="201" t="s">
        <v>79</v>
      </c>
      <c r="C220" s="202"/>
      <c r="D220" s="268">
        <v>44561</v>
      </c>
      <c r="E220" s="202" t="s">
        <v>195</v>
      </c>
      <c r="F220" s="172"/>
      <c r="G220" s="205"/>
      <c r="H220" s="206">
        <v>8440</v>
      </c>
      <c r="I220" s="66">
        <f t="shared" si="18"/>
        <v>2084.0300000000025</v>
      </c>
      <c r="J220" s="74" t="s">
        <v>273</v>
      </c>
      <c r="K220" s="74">
        <f>N220/100</f>
        <v>8640</v>
      </c>
      <c r="L220" s="74" t="str">
        <f>VLOOKUP($J220,'2 CODIFICATION'!A$5:B$17,2,"FAUX")</f>
        <v>ADMINIST ET FONCT</v>
      </c>
      <c r="M220" s="74" t="str">
        <f>VLOOKUP($K220,'2 CODIFICATION'!D$8:E$64,2,"FAUX")</f>
        <v>Personnels bénévoles</v>
      </c>
      <c r="N220" s="272">
        <v>864000</v>
      </c>
      <c r="O220" s="206">
        <f t="shared" si="20"/>
        <v>-8440</v>
      </c>
      <c r="P220" s="74">
        <f t="shared" si="21"/>
        <v>2021</v>
      </c>
      <c r="Q220" s="270" t="str">
        <f>VLOOKUP($N220,'2 CODIFICATION'!$G$5:$L$71,3,FALSE)</f>
        <v>Personnels bénévoles</v>
      </c>
      <c r="R220" s="271" t="str">
        <f>VLOOKUP($N220,'2 CODIFICATION'!$G$5:$L$71,4,FALSE)</f>
        <v>chges</v>
      </c>
      <c r="S220" s="271">
        <f>VLOOKUP($N220,'2 CODIFICATION'!$G$5:$L$71,5,FALSE)</f>
        <v>86</v>
      </c>
      <c r="T220" s="270" t="str">
        <f>VLOOKUP($N220,'2 CODIFICATION'!$G$5:$L$71,6,FALSE)</f>
        <v>Contributions volontaires</v>
      </c>
    </row>
    <row r="221" spans="1:20" s="78" customFormat="1" ht="15" hidden="1" customHeight="1">
      <c r="A221" s="78" t="s">
        <v>197</v>
      </c>
      <c r="B221" s="78" t="s">
        <v>79</v>
      </c>
      <c r="C221" s="79"/>
      <c r="D221" s="80">
        <v>44562</v>
      </c>
      <c r="E221" s="79" t="s">
        <v>162</v>
      </c>
      <c r="F221" s="147"/>
      <c r="G221" s="81">
        <v>1399.0499999999995</v>
      </c>
      <c r="H221" s="82"/>
      <c r="I221" s="471">
        <f>+G221</f>
        <v>1399.0499999999995</v>
      </c>
      <c r="J221" s="74" t="s">
        <v>273</v>
      </c>
      <c r="K221" s="20">
        <v>5120</v>
      </c>
      <c r="L221" s="74" t="str">
        <f>VLOOKUP($J221,'2 CODIFICATION'!A$5:B$21,2,"FAUX")</f>
        <v>ADMINIST ET FONCT</v>
      </c>
      <c r="M221" s="74" t="str">
        <f>VLOOKUP($K221,'2 CODIFICATION'!D$8:E$64,2,"FAUX")</f>
        <v>Banque</v>
      </c>
      <c r="N221" s="84">
        <f>+K221*100</f>
        <v>512000</v>
      </c>
      <c r="O221" s="14">
        <f t="shared" si="20"/>
        <v>1399.0499999999995</v>
      </c>
      <c r="P221" s="84">
        <f t="shared" si="21"/>
        <v>2022</v>
      </c>
      <c r="Q221" s="11" t="str">
        <f>VLOOKUP($N221,'2 CODIFICATION'!$G$5:$L$71,3,FALSE)</f>
        <v>Banque</v>
      </c>
      <c r="R221" s="53" t="str">
        <f>VLOOKUP($N221,'2 CODIFICATION'!$G$5:$L$71,4,FALSE)</f>
        <v>bilan</v>
      </c>
      <c r="S221" s="53">
        <f>VLOOKUP($N221,'2 CODIFICATION'!$G$5:$L$71,5,FALSE)</f>
        <v>50</v>
      </c>
      <c r="T221" s="11" t="str">
        <f>VLOOKUP($N221,'2 CODIFICATION'!$G$5:$L$71,6,FALSE)</f>
        <v>Trésorerie</v>
      </c>
    </row>
    <row r="222" spans="1:20" s="78" customFormat="1" ht="15" hidden="1" customHeight="1">
      <c r="A222" s="78" t="s">
        <v>197</v>
      </c>
      <c r="B222" s="78" t="s">
        <v>79</v>
      </c>
      <c r="C222" s="79"/>
      <c r="D222" s="80">
        <v>44562</v>
      </c>
      <c r="E222" s="79" t="s">
        <v>162</v>
      </c>
      <c r="F222" s="147"/>
      <c r="G222" s="81">
        <v>-179.82999999999947</v>
      </c>
      <c r="H222" s="82"/>
      <c r="I222" s="471">
        <f>+I221+G222-H222</f>
        <v>1219.22</v>
      </c>
      <c r="J222" s="74" t="s">
        <v>198</v>
      </c>
      <c r="K222" s="20">
        <v>5120</v>
      </c>
      <c r="L222" s="74" t="str">
        <f>VLOOKUP($J222,'2 CODIFICATION'!A$5:B$21,2,"FAUX")</f>
        <v>HYGIENE MENSTRUELLE</v>
      </c>
      <c r="M222" s="74" t="str">
        <f>VLOOKUP($K222,'2 CODIFICATION'!D$8:E$64,2,"FAUX")</f>
        <v>Banque</v>
      </c>
      <c r="N222" s="84">
        <f>+K222*100</f>
        <v>512000</v>
      </c>
      <c r="O222" s="14">
        <f>G222-H222</f>
        <v>-179.82999999999947</v>
      </c>
      <c r="P222" s="84">
        <f>YEAR(D222)</f>
        <v>2022</v>
      </c>
      <c r="Q222" s="11" t="str">
        <f>VLOOKUP($N222,'2 CODIFICATION'!$G$5:$L$71,3,FALSE)</f>
        <v>Banque</v>
      </c>
      <c r="R222" s="53" t="str">
        <f>VLOOKUP($N222,'2 CODIFICATION'!$G$5:$L$71,4,FALSE)</f>
        <v>bilan</v>
      </c>
      <c r="S222" s="53">
        <f>VLOOKUP($N222,'2 CODIFICATION'!$G$5:$L$71,5,FALSE)</f>
        <v>50</v>
      </c>
      <c r="T222" s="11" t="str">
        <f>VLOOKUP($N222,'2 CODIFICATION'!$G$5:$L$71,6,FALSE)</f>
        <v>Trésorerie</v>
      </c>
    </row>
    <row r="223" spans="1:20" s="78" customFormat="1" ht="15" hidden="1" customHeight="1">
      <c r="A223" s="78" t="s">
        <v>197</v>
      </c>
      <c r="B223" s="78" t="s">
        <v>79</v>
      </c>
      <c r="C223" s="79"/>
      <c r="D223" s="80">
        <v>44562</v>
      </c>
      <c r="E223" s="79" t="s">
        <v>162</v>
      </c>
      <c r="F223" s="147"/>
      <c r="G223" s="81">
        <v>740.26000000000022</v>
      </c>
      <c r="H223" s="82"/>
      <c r="I223" s="471">
        <f t="shared" ref="I223:I265" si="22">+I222+G223-H223</f>
        <v>1959.4800000000002</v>
      </c>
      <c r="J223" s="74" t="s">
        <v>234</v>
      </c>
      <c r="K223" s="20">
        <v>5120</v>
      </c>
      <c r="L223" s="74" t="str">
        <f>VLOOKUP($J223,'2 CODIFICATION'!A$5:B$21,2,"FAUX")</f>
        <v>DASSOUTE TEUILLAC COLLEGE</v>
      </c>
      <c r="M223" s="74" t="str">
        <f>VLOOKUP($K223,'2 CODIFICATION'!D$8:E$64,2,"FAUX")</f>
        <v>Banque</v>
      </c>
      <c r="N223" s="84">
        <f>+K223*100</f>
        <v>512000</v>
      </c>
      <c r="O223" s="14">
        <f>G223-H223</f>
        <v>740.26000000000022</v>
      </c>
      <c r="P223" s="84">
        <f>YEAR(D223)</f>
        <v>2022</v>
      </c>
      <c r="Q223" s="11" t="str">
        <f>VLOOKUP($N223,'2 CODIFICATION'!$G$5:$L$71,3,FALSE)</f>
        <v>Banque</v>
      </c>
      <c r="R223" s="53" t="str">
        <f>VLOOKUP($N223,'2 CODIFICATION'!$G$5:$L$71,4,FALSE)</f>
        <v>bilan</v>
      </c>
      <c r="S223" s="53">
        <f>VLOOKUP($N223,'2 CODIFICATION'!$G$5:$L$71,5,FALSE)</f>
        <v>50</v>
      </c>
      <c r="T223" s="11" t="str">
        <f>VLOOKUP($N223,'2 CODIFICATION'!$G$5:$L$71,6,FALSE)</f>
        <v>Trésorerie</v>
      </c>
    </row>
    <row r="224" spans="1:20" s="78" customFormat="1" ht="15" hidden="1" customHeight="1">
      <c r="A224" s="78" t="s">
        <v>197</v>
      </c>
      <c r="B224" s="78" t="s">
        <v>79</v>
      </c>
      <c r="C224" s="79"/>
      <c r="D224" s="80">
        <v>44926</v>
      </c>
      <c r="E224" s="79" t="s">
        <v>435</v>
      </c>
      <c r="F224" s="147"/>
      <c r="G224" s="81"/>
      <c r="H224" s="82">
        <v>100</v>
      </c>
      <c r="I224" s="471">
        <f>+I221+G224-H224</f>
        <v>1299.0499999999995</v>
      </c>
      <c r="J224" s="74" t="s">
        <v>273</v>
      </c>
      <c r="K224" s="20">
        <v>6022</v>
      </c>
      <c r="L224" s="74" t="str">
        <f>VLOOKUP($J224,'2 CODIFICATION'!A$5:B$21,2,"FAUX")</f>
        <v>ADMINIST ET FONCT</v>
      </c>
      <c r="M224" s="74" t="str">
        <f>VLOOKUP($K224,'2 CODIFICATION'!D$8:E$64,2,"FAUX")</f>
        <v>Fournitures stockées</v>
      </c>
      <c r="N224" s="85">
        <f>+K224*100</f>
        <v>602200</v>
      </c>
      <c r="O224" s="14">
        <f>G224-H224</f>
        <v>-100</v>
      </c>
      <c r="P224" s="84">
        <f>YEAR(D224)</f>
        <v>2022</v>
      </c>
      <c r="Q224" s="11" t="str">
        <f>VLOOKUP($N224,'2 CODIFICATION'!$G$5:$L$71,3,FALSE)</f>
        <v>Fournitures de bureau et consommables</v>
      </c>
      <c r="R224" s="53" t="str">
        <f>VLOOKUP($N224,'2 CODIFICATION'!$G$5:$L$71,4,FALSE)</f>
        <v>chges</v>
      </c>
      <c r="S224" s="53">
        <f>VLOOKUP($N224,'2 CODIFICATION'!$G$5:$L$71,5,FALSE)</f>
        <v>60</v>
      </c>
      <c r="T224" s="11" t="str">
        <f>VLOOKUP($N224,'2 CODIFICATION'!$G$5:$L$71,6,FALSE)</f>
        <v>Achat</v>
      </c>
    </row>
    <row r="225" spans="1:20" s="78" customFormat="1" ht="15" hidden="1" customHeight="1">
      <c r="A225" s="78" t="s">
        <v>197</v>
      </c>
      <c r="B225" s="78" t="s">
        <v>79</v>
      </c>
      <c r="C225" s="79"/>
      <c r="D225" s="80">
        <v>44926</v>
      </c>
      <c r="E225" s="79" t="s">
        <v>435</v>
      </c>
      <c r="F225" s="147"/>
      <c r="G225" s="81">
        <v>124.55</v>
      </c>
      <c r="H225" s="82"/>
      <c r="I225" s="471">
        <f>+I222+G225-H225</f>
        <v>1343.77</v>
      </c>
      <c r="J225" s="74" t="s">
        <v>273</v>
      </c>
      <c r="K225" s="20">
        <v>4860</v>
      </c>
      <c r="L225" s="74" t="str">
        <f>VLOOKUP($J225,'2 CODIFICATION'!A$5:B$21,2,"FAUX")</f>
        <v>ADMINIST ET FONCT</v>
      </c>
      <c r="M225" s="74" t="str">
        <f>VLOOKUP($K225,'2 CODIFICATION'!D$8:E$64,2,"FAUX")</f>
        <v>Charges constatées d'avance</v>
      </c>
      <c r="N225" s="85">
        <f>+K225*100</f>
        <v>486000</v>
      </c>
      <c r="O225" s="14">
        <f>G225-H225</f>
        <v>124.55</v>
      </c>
      <c r="P225" s="84">
        <f>YEAR(D225)</f>
        <v>2022</v>
      </c>
      <c r="Q225" s="11" t="str">
        <f>VLOOKUP($N225,'2 CODIFICATION'!$G$5:$L$71,3,FALSE)</f>
        <v>Charges constatées d'avance</v>
      </c>
      <c r="R225" s="53" t="str">
        <f>VLOOKUP($N225,'2 CODIFICATION'!$G$5:$L$71,4,FALSE)</f>
        <v>bilan</v>
      </c>
      <c r="S225" s="53">
        <f>VLOOKUP($N225,'2 CODIFICATION'!$G$5:$L$71,5,FALSE)</f>
        <v>48</v>
      </c>
      <c r="T225" s="11" t="str">
        <f>VLOOKUP($N225,'2 CODIFICATION'!$G$5:$L$71,6,FALSE)</f>
        <v>CCA</v>
      </c>
    </row>
    <row r="226" spans="1:20" s="78" customFormat="1" ht="15" hidden="1" customHeight="1">
      <c r="A226" s="78" t="s">
        <v>197</v>
      </c>
      <c r="B226" s="78" t="s">
        <v>79</v>
      </c>
      <c r="C226" s="79"/>
      <c r="D226" s="80">
        <v>44926</v>
      </c>
      <c r="E226" s="79" t="s">
        <v>178</v>
      </c>
      <c r="F226" s="147"/>
      <c r="G226" s="81"/>
      <c r="H226" s="82">
        <v>124.55</v>
      </c>
      <c r="I226" s="471">
        <f>+I223+G226-H226</f>
        <v>1834.9300000000003</v>
      </c>
      <c r="J226" s="74" t="s">
        <v>273</v>
      </c>
      <c r="K226" s="20">
        <v>6160</v>
      </c>
      <c r="L226" s="74" t="str">
        <f>VLOOKUP($J226,'2 CODIFICATION'!A$5:B$21,2,"FAUX")</f>
        <v>ADMINIST ET FONCT</v>
      </c>
      <c r="M226" s="74" t="str">
        <f>VLOOKUP($K226,'2 CODIFICATION'!D$8:E$64,2,"FAUX")</f>
        <v>Assurance RC</v>
      </c>
      <c r="N226" s="85">
        <f t="shared" ref="N226:N265" si="23">+K226*100</f>
        <v>616000</v>
      </c>
      <c r="O226" s="14">
        <f t="shared" si="20"/>
        <v>-124.55</v>
      </c>
      <c r="P226" s="84">
        <f t="shared" si="21"/>
        <v>2022</v>
      </c>
      <c r="Q226" s="11" t="str">
        <f>VLOOKUP($N226,'2 CODIFICATION'!$G$5:$L$71,3,FALSE)</f>
        <v>Primes d'assurance</v>
      </c>
      <c r="R226" s="53" t="str">
        <f>VLOOKUP($N226,'2 CODIFICATION'!$G$5:$L$71,4,FALSE)</f>
        <v>chges</v>
      </c>
      <c r="S226" s="53">
        <f>VLOOKUP($N226,'2 CODIFICATION'!$G$5:$L$71,5,FALSE)</f>
        <v>61</v>
      </c>
      <c r="T226" s="11" t="str">
        <f>VLOOKUP($N226,'2 CODIFICATION'!$G$5:$L$71,6,FALSE)</f>
        <v>Services extérieurs</v>
      </c>
    </row>
    <row r="227" spans="1:20" s="78" customFormat="1" ht="15" hidden="1" customHeight="1">
      <c r="A227" s="78" t="s">
        <v>197</v>
      </c>
      <c r="B227" s="78" t="s">
        <v>79</v>
      </c>
      <c r="C227" s="79"/>
      <c r="D227" s="80">
        <v>44926</v>
      </c>
      <c r="E227" s="79" t="s">
        <v>35</v>
      </c>
      <c r="F227" s="147"/>
      <c r="G227" s="81"/>
      <c r="H227" s="82">
        <v>100</v>
      </c>
      <c r="I227" s="471">
        <f t="shared" si="22"/>
        <v>1734.9300000000003</v>
      </c>
      <c r="J227" s="74" t="s">
        <v>273</v>
      </c>
      <c r="K227" s="20">
        <v>6064</v>
      </c>
      <c r="L227" s="74" t="str">
        <f>VLOOKUP($J227,'2 CODIFICATION'!A$5:B$21,2,"FAUX")</f>
        <v>ADMINIST ET FONCT</v>
      </c>
      <c r="M227" s="74" t="str">
        <f>VLOOKUP($K227,'2 CODIFICATION'!D$8:E$64,2,"FAUX")</f>
        <v>Frais de fonctionnement et fourniture</v>
      </c>
      <c r="N227" s="85">
        <f t="shared" si="23"/>
        <v>606400</v>
      </c>
      <c r="O227" s="14">
        <f t="shared" si="20"/>
        <v>-100</v>
      </c>
      <c r="P227" s="84">
        <f t="shared" si="21"/>
        <v>2022</v>
      </c>
      <c r="Q227" s="11" t="str">
        <f>VLOOKUP($N227,'2 CODIFICATION'!$G$5:$L$71,3,FALSE)</f>
        <v>Fournitures administratives</v>
      </c>
      <c r="R227" s="53" t="str">
        <f>VLOOKUP($N227,'2 CODIFICATION'!$G$5:$L$71,4,FALSE)</f>
        <v>chges</v>
      </c>
      <c r="S227" s="53">
        <f>VLOOKUP($N227,'2 CODIFICATION'!$G$5:$L$71,5,FALSE)</f>
        <v>60</v>
      </c>
      <c r="T227" s="11" t="str">
        <f>VLOOKUP($N227,'2 CODIFICATION'!$G$5:$L$71,6,FALSE)</f>
        <v>Achat</v>
      </c>
    </row>
    <row r="228" spans="1:20" s="78" customFormat="1" ht="15" hidden="1" customHeight="1">
      <c r="A228" s="78" t="s">
        <v>197</v>
      </c>
      <c r="B228" s="78" t="s">
        <v>79</v>
      </c>
      <c r="C228" s="86"/>
      <c r="D228" s="80">
        <v>44926</v>
      </c>
      <c r="E228" s="79" t="s">
        <v>167</v>
      </c>
      <c r="F228" s="147"/>
      <c r="G228" s="81"/>
      <c r="H228" s="82">
        <f>130-124.55</f>
        <v>5.4500000000000028</v>
      </c>
      <c r="I228" s="471">
        <f t="shared" si="22"/>
        <v>1729.4800000000002</v>
      </c>
      <c r="J228" s="74" t="s">
        <v>273</v>
      </c>
      <c r="K228" s="20">
        <v>6160</v>
      </c>
      <c r="L228" s="74" t="str">
        <f>VLOOKUP($J228,'2 CODIFICATION'!A$5:B$21,2,"FAUX")</f>
        <v>ADMINIST ET FONCT</v>
      </c>
      <c r="M228" s="74" t="str">
        <f>VLOOKUP($K228,'2 CODIFICATION'!D$8:E$64,2,"FAUX")</f>
        <v>Assurance RC</v>
      </c>
      <c r="N228" s="85">
        <f t="shared" si="23"/>
        <v>616000</v>
      </c>
      <c r="O228" s="14">
        <f t="shared" si="20"/>
        <v>-5.4500000000000028</v>
      </c>
      <c r="P228" s="84">
        <f t="shared" si="21"/>
        <v>2022</v>
      </c>
      <c r="Q228" s="11" t="str">
        <f>VLOOKUP($N228,'2 CODIFICATION'!$G$5:$L$71,3,FALSE)</f>
        <v>Primes d'assurance</v>
      </c>
      <c r="R228" s="53" t="str">
        <f>VLOOKUP($N228,'2 CODIFICATION'!$G$5:$L$71,4,FALSE)</f>
        <v>chges</v>
      </c>
      <c r="S228" s="53">
        <f>VLOOKUP($N228,'2 CODIFICATION'!$G$5:$L$71,5,FALSE)</f>
        <v>61</v>
      </c>
      <c r="T228" s="11" t="str">
        <f>VLOOKUP($N228,'2 CODIFICATION'!$G$5:$L$71,6,FALSE)</f>
        <v>Services extérieurs</v>
      </c>
    </row>
    <row r="229" spans="1:20" s="78" customFormat="1" ht="15" hidden="1" customHeight="1">
      <c r="A229" s="78" t="s">
        <v>197</v>
      </c>
      <c r="B229" s="78" t="s">
        <v>79</v>
      </c>
      <c r="C229" s="86"/>
      <c r="D229" s="80">
        <v>44926</v>
      </c>
      <c r="E229" s="79" t="s">
        <v>42</v>
      </c>
      <c r="F229" s="147"/>
      <c r="G229" s="81"/>
      <c r="H229" s="82">
        <v>50</v>
      </c>
      <c r="I229" s="471">
        <f t="shared" si="22"/>
        <v>1679.4800000000002</v>
      </c>
      <c r="J229" s="74" t="s">
        <v>273</v>
      </c>
      <c r="K229" s="20">
        <v>6181</v>
      </c>
      <c r="L229" s="74" t="str">
        <f>VLOOKUP($J229,'2 CODIFICATION'!A$5:B$21,2,"FAUX")</f>
        <v>ADMINIST ET FONCT</v>
      </c>
      <c r="M229" s="74" t="str">
        <f>VLOOKUP($K229,'2 CODIFICATION'!D$8:E$64,2,"FAUX")</f>
        <v>documentation générale</v>
      </c>
      <c r="N229" s="85">
        <f t="shared" si="23"/>
        <v>618100</v>
      </c>
      <c r="O229" s="14">
        <f t="shared" si="20"/>
        <v>-50</v>
      </c>
      <c r="P229" s="84">
        <f t="shared" si="21"/>
        <v>2022</v>
      </c>
      <c r="Q229" s="11" t="str">
        <f>VLOOKUP($N229,'2 CODIFICATION'!$G$5:$L$71,3,FALSE)</f>
        <v>Documentation générale</v>
      </c>
      <c r="R229" s="53" t="str">
        <f>VLOOKUP($N229,'2 CODIFICATION'!$G$5:$L$71,4,FALSE)</f>
        <v>chges</v>
      </c>
      <c r="S229" s="53">
        <f>VLOOKUP($N229,'2 CODIFICATION'!$G$5:$L$71,5,FALSE)</f>
        <v>61</v>
      </c>
      <c r="T229" s="11" t="str">
        <f>VLOOKUP($N229,'2 CODIFICATION'!$G$5:$L$71,6,FALSE)</f>
        <v>Autres services extérieurs</v>
      </c>
    </row>
    <row r="230" spans="1:20" s="78" customFormat="1" ht="15" hidden="1" customHeight="1">
      <c r="A230" s="78" t="s">
        <v>197</v>
      </c>
      <c r="B230" s="78" t="s">
        <v>79</v>
      </c>
      <c r="C230" s="86"/>
      <c r="D230" s="80">
        <v>44926</v>
      </c>
      <c r="E230" s="86" t="s">
        <v>182</v>
      </c>
      <c r="F230" s="148"/>
      <c r="G230" s="81"/>
      <c r="H230" s="82">
        <v>50</v>
      </c>
      <c r="I230" s="471">
        <f t="shared" si="22"/>
        <v>1629.4800000000002</v>
      </c>
      <c r="J230" s="74" t="s">
        <v>273</v>
      </c>
      <c r="K230" s="20">
        <v>6230</v>
      </c>
      <c r="L230" s="74" t="str">
        <f>VLOOKUP($J230,'2 CODIFICATION'!A$5:B$21,2,"FAUX")</f>
        <v>ADMINIST ET FONCT</v>
      </c>
      <c r="M230" s="74" t="str">
        <f>VLOOKUP($K230,'2 CODIFICATION'!D$8:E$64,2,"FAUX")</f>
        <v>communication</v>
      </c>
      <c r="N230" s="85">
        <f t="shared" si="23"/>
        <v>623000</v>
      </c>
      <c r="O230" s="14">
        <f>G230-H230</f>
        <v>-50</v>
      </c>
      <c r="P230" s="84">
        <f>YEAR(D230)</f>
        <v>2022</v>
      </c>
      <c r="Q230" s="11" t="str">
        <f>VLOOKUP($N230,'2 CODIFICATION'!$G$5:$L$71,3,FALSE)</f>
        <v>Publicité, publications, Création de site web</v>
      </c>
      <c r="R230" s="53" t="str">
        <f>VLOOKUP($N230,'2 CODIFICATION'!$G$5:$L$71,4,FALSE)</f>
        <v>chges</v>
      </c>
      <c r="S230" s="53">
        <f>VLOOKUP($N230,'2 CODIFICATION'!$G$5:$L$71,5,FALSE)</f>
        <v>62</v>
      </c>
      <c r="T230" s="11" t="str">
        <f>VLOOKUP($N230,'2 CODIFICATION'!$G$5:$L$71,6,FALSE)</f>
        <v>Autres services extérieurs</v>
      </c>
    </row>
    <row r="231" spans="1:20" s="78" customFormat="1" ht="15" hidden="1" customHeight="1">
      <c r="A231" s="78" t="s">
        <v>197</v>
      </c>
      <c r="B231" s="78" t="s">
        <v>79</v>
      </c>
      <c r="C231" s="79"/>
      <c r="D231" s="80">
        <v>44926</v>
      </c>
      <c r="E231" s="79" t="s">
        <v>48</v>
      </c>
      <c r="F231" s="147"/>
      <c r="G231" s="81"/>
      <c r="H231" s="82">
        <v>800</v>
      </c>
      <c r="I231" s="471">
        <f t="shared" si="22"/>
        <v>829.48000000000025</v>
      </c>
      <c r="J231" s="74" t="s">
        <v>273</v>
      </c>
      <c r="K231" s="20">
        <v>6250</v>
      </c>
      <c r="L231" s="74" t="str">
        <f>VLOOKUP($J231,'2 CODIFICATION'!A$5:B$21,2,"FAUX")</f>
        <v>ADMINIST ET FONCT</v>
      </c>
      <c r="M231" s="74" t="str">
        <f>VLOOKUP($K231,'2 CODIFICATION'!D$8:E$64,2,"FAUX")</f>
        <v>déplacements</v>
      </c>
      <c r="N231" s="85">
        <f t="shared" si="23"/>
        <v>625000</v>
      </c>
      <c r="O231" s="14">
        <f t="shared" si="20"/>
        <v>-800</v>
      </c>
      <c r="P231" s="84">
        <f t="shared" si="21"/>
        <v>2022</v>
      </c>
      <c r="Q231" s="11" t="str">
        <f>VLOOKUP($N231,'2 CODIFICATION'!$G$5:$L$71,3,FALSE)</f>
        <v>Déplacements, missions et réceptions</v>
      </c>
      <c r="R231" s="53" t="str">
        <f>VLOOKUP($N231,'2 CODIFICATION'!$G$5:$L$71,4,FALSE)</f>
        <v>chges</v>
      </c>
      <c r="S231" s="53">
        <f>VLOOKUP($N231,'2 CODIFICATION'!$G$5:$L$71,5,FALSE)</f>
        <v>62</v>
      </c>
      <c r="T231" s="11" t="str">
        <f>VLOOKUP($N231,'2 CODIFICATION'!$G$5:$L$71,6,FALSE)</f>
        <v>Autres services extérieurs</v>
      </c>
    </row>
    <row r="232" spans="1:20" s="78" customFormat="1" ht="15" hidden="1" customHeight="1">
      <c r="A232" s="78" t="s">
        <v>197</v>
      </c>
      <c r="B232" s="78" t="s">
        <v>79</v>
      </c>
      <c r="C232" s="79"/>
      <c r="D232" s="80">
        <v>44926</v>
      </c>
      <c r="E232" s="79" t="s">
        <v>52</v>
      </c>
      <c r="F232" s="147"/>
      <c r="G232" s="81"/>
      <c r="H232" s="82">
        <v>90</v>
      </c>
      <c r="I232" s="471">
        <f t="shared" si="22"/>
        <v>739.48000000000025</v>
      </c>
      <c r="J232" s="74" t="s">
        <v>273</v>
      </c>
      <c r="K232" s="20">
        <v>6261</v>
      </c>
      <c r="L232" s="74" t="str">
        <f>VLOOKUP($J232,'2 CODIFICATION'!A$5:B$21,2,"FAUX")</f>
        <v>ADMINIST ET FONCT</v>
      </c>
      <c r="M232" s="74" t="str">
        <f>VLOOKUP($K232,'2 CODIFICATION'!D$8:E$64,2,"FAUX")</f>
        <v>Frais d'envoi</v>
      </c>
      <c r="N232" s="85">
        <f t="shared" si="23"/>
        <v>626100</v>
      </c>
      <c r="O232" s="14">
        <f t="shared" si="20"/>
        <v>-90</v>
      </c>
      <c r="P232" s="84">
        <f t="shared" si="21"/>
        <v>2022</v>
      </c>
      <c r="Q232" s="11" t="str">
        <f>VLOOKUP($N232,'2 CODIFICATION'!$G$5:$L$71,3,FALSE)</f>
        <v>Frais postaux</v>
      </c>
      <c r="R232" s="53" t="str">
        <f>VLOOKUP($N232,'2 CODIFICATION'!$G$5:$L$71,4,FALSE)</f>
        <v>chges</v>
      </c>
      <c r="S232" s="53">
        <f>VLOOKUP($N232,'2 CODIFICATION'!$G$5:$L$71,5,FALSE)</f>
        <v>62</v>
      </c>
      <c r="T232" s="11" t="str">
        <f>VLOOKUP($N232,'2 CODIFICATION'!$G$5:$L$71,6,FALSE)</f>
        <v>Autres services extérieurs</v>
      </c>
    </row>
    <row r="233" spans="1:20" s="78" customFormat="1" ht="15" hidden="1" customHeight="1">
      <c r="A233" s="78" t="s">
        <v>197</v>
      </c>
      <c r="B233" s="78" t="s">
        <v>79</v>
      </c>
      <c r="C233" s="79"/>
      <c r="D233" s="80">
        <v>44926</v>
      </c>
      <c r="E233" s="79" t="s">
        <v>187</v>
      </c>
      <c r="F233" s="147"/>
      <c r="G233" s="81"/>
      <c r="H233" s="82">
        <v>120</v>
      </c>
      <c r="I233" s="471">
        <f t="shared" si="22"/>
        <v>619.48000000000025</v>
      </c>
      <c r="J233" s="74" t="s">
        <v>273</v>
      </c>
      <c r="K233" s="20">
        <v>6262</v>
      </c>
      <c r="L233" s="74" t="str">
        <f>VLOOKUP($J233,'2 CODIFICATION'!A$5:B$21,2,"FAUX")</f>
        <v>ADMINIST ET FONCT</v>
      </c>
      <c r="M233" s="74" t="str">
        <f>VLOOKUP($K233,'2 CODIFICATION'!D$8:E$64,2,"FAUX")</f>
        <v>Téléphone</v>
      </c>
      <c r="N233" s="85">
        <f t="shared" si="23"/>
        <v>626200</v>
      </c>
      <c r="O233" s="14">
        <f t="shared" si="20"/>
        <v>-120</v>
      </c>
      <c r="P233" s="84">
        <f t="shared" si="21"/>
        <v>2022</v>
      </c>
      <c r="Q233" s="11" t="str">
        <f>VLOOKUP($N233,'2 CODIFICATION'!$G$5:$L$71,3,FALSE)</f>
        <v>Frais de téléphone, fax et portables</v>
      </c>
      <c r="R233" s="53" t="str">
        <f>VLOOKUP($N233,'2 CODIFICATION'!$G$5:$L$71,4,FALSE)</f>
        <v>chges</v>
      </c>
      <c r="S233" s="53">
        <f>VLOOKUP($N233,'2 CODIFICATION'!$G$5:$L$71,5,FALSE)</f>
        <v>62</v>
      </c>
      <c r="T233" s="11" t="str">
        <f>VLOOKUP($N233,'2 CODIFICATION'!$G$5:$L$71,6,FALSE)</f>
        <v>Autres services extérieurs</v>
      </c>
    </row>
    <row r="234" spans="1:20" s="78" customFormat="1" ht="15" hidden="1" customHeight="1">
      <c r="A234" s="78" t="s">
        <v>197</v>
      </c>
      <c r="B234" s="78" t="s">
        <v>79</v>
      </c>
      <c r="C234" s="79"/>
      <c r="D234" s="80">
        <v>44926</v>
      </c>
      <c r="E234" s="79" t="s">
        <v>188</v>
      </c>
      <c r="F234" s="147"/>
      <c r="G234" s="81"/>
      <c r="H234" s="82">
        <v>200</v>
      </c>
      <c r="I234" s="471">
        <f t="shared" si="22"/>
        <v>419.48000000000025</v>
      </c>
      <c r="J234" s="74" t="s">
        <v>273</v>
      </c>
      <c r="K234" s="20">
        <v>6281</v>
      </c>
      <c r="L234" s="74" t="str">
        <f>VLOOKUP($J234,'2 CODIFICATION'!A$5:B$21,2,"FAUX")</f>
        <v>ADMINIST ET FONCT</v>
      </c>
      <c r="M234" s="74" t="str">
        <f>VLOOKUP($K234,'2 CODIFICATION'!D$8:E$64,2,"FAUX")</f>
        <v>adhésion Hellasso+ autres</v>
      </c>
      <c r="N234" s="85">
        <f t="shared" si="23"/>
        <v>628100</v>
      </c>
      <c r="O234" s="14">
        <f t="shared" si="20"/>
        <v>-200</v>
      </c>
      <c r="P234" s="84">
        <f t="shared" si="21"/>
        <v>2022</v>
      </c>
      <c r="Q234" s="11" t="str">
        <f>VLOOKUP($N234,'2 CODIFICATION'!$G$5:$L$71,3,FALSE)</f>
        <v>adhesion Hellasso</v>
      </c>
      <c r="R234" s="53" t="str">
        <f>VLOOKUP($N234,'2 CODIFICATION'!$G$5:$L$71,4,FALSE)</f>
        <v>chges</v>
      </c>
      <c r="S234" s="53">
        <f>VLOOKUP($N234,'2 CODIFICATION'!$G$5:$L$71,5,FALSE)</f>
        <v>62</v>
      </c>
      <c r="T234" s="11" t="str">
        <f>VLOOKUP($N234,'2 CODIFICATION'!$G$5:$L$71,6,FALSE)</f>
        <v>Autres services extérieurs</v>
      </c>
    </row>
    <row r="235" spans="1:20" s="78" customFormat="1" ht="15" hidden="1" customHeight="1">
      <c r="A235" s="78" t="s">
        <v>197</v>
      </c>
      <c r="B235" s="78" t="s">
        <v>79</v>
      </c>
      <c r="C235" s="79"/>
      <c r="D235" s="80">
        <v>44926</v>
      </c>
      <c r="E235" s="79" t="s">
        <v>434</v>
      </c>
      <c r="F235" s="147"/>
      <c r="G235" s="81"/>
      <c r="H235" s="82">
        <v>8100</v>
      </c>
      <c r="I235" s="471">
        <f t="shared" si="22"/>
        <v>-7680.5199999999995</v>
      </c>
      <c r="J235" s="84" t="s">
        <v>198</v>
      </c>
      <c r="K235" s="20">
        <v>6110</v>
      </c>
      <c r="L235" s="74" t="str">
        <f>VLOOKUP($J235,'2 CODIFICATION'!A$5:B$21,2,"FAUX")</f>
        <v>HYGIENE MENSTRUELLE</v>
      </c>
      <c r="M235" s="74" t="str">
        <f>VLOOKUP($K235,'2 CODIFICATION'!D$8:E$64,2,"FAUX")</f>
        <v>Sous traitance projet</v>
      </c>
      <c r="N235" s="85">
        <f>+K235*100</f>
        <v>611000</v>
      </c>
      <c r="O235" s="14">
        <f>G235-H235</f>
        <v>-8100</v>
      </c>
      <c r="P235" s="84">
        <f>YEAR(D235)</f>
        <v>2022</v>
      </c>
      <c r="Q235" s="11" t="str">
        <f>VLOOKUP($N235,'2 CODIFICATION'!$G$5:$L$71,3,FALSE)</f>
        <v xml:space="preserve">Sous-traitance générale </v>
      </c>
      <c r="R235" s="53" t="str">
        <f>VLOOKUP($N235,'2 CODIFICATION'!$G$5:$L$71,4,FALSE)</f>
        <v>chges</v>
      </c>
      <c r="S235" s="53">
        <f>VLOOKUP($N235,'2 CODIFICATION'!$G$5:$L$71,5,FALSE)</f>
        <v>61</v>
      </c>
      <c r="T235" s="11" t="str">
        <f>VLOOKUP($N235,'2 CODIFICATION'!$G$5:$L$71,6,FALSE)</f>
        <v>Services extérieurs</v>
      </c>
    </row>
    <row r="236" spans="1:20" s="78" customFormat="1" ht="15" hidden="1" customHeight="1">
      <c r="A236" s="78" t="s">
        <v>197</v>
      </c>
      <c r="B236" s="78" t="s">
        <v>79</v>
      </c>
      <c r="C236" s="79"/>
      <c r="D236" s="80">
        <v>44926</v>
      </c>
      <c r="E236" s="79" t="s">
        <v>434</v>
      </c>
      <c r="F236" s="147"/>
      <c r="G236" s="81"/>
      <c r="H236" s="82">
        <v>609</v>
      </c>
      <c r="I236" s="471">
        <f t="shared" si="22"/>
        <v>-8289.52</v>
      </c>
      <c r="J236" s="84" t="s">
        <v>198</v>
      </c>
      <c r="K236" s="20">
        <v>6068</v>
      </c>
      <c r="L236" s="74" t="str">
        <f>VLOOKUP($J236,'2 CODIFICATION'!A$5:B$21,2,"FAUX")</f>
        <v>HYGIENE MENSTRUELLE</v>
      </c>
      <c r="M236" s="74" t="str">
        <f>VLOOKUP($K236,'2 CODIFICATION'!D$8:E$64,2,"FAUX")</f>
        <v>Autres matières et fournitures</v>
      </c>
      <c r="N236" s="85">
        <f>+K236*100</f>
        <v>606800</v>
      </c>
      <c r="O236" s="14">
        <f>G236-H236</f>
        <v>-609</v>
      </c>
      <c r="P236" s="84">
        <f>YEAR(D236)</f>
        <v>2022</v>
      </c>
      <c r="Q236" s="11" t="str">
        <f>VLOOKUP($N236,'2 CODIFICATION'!$G$5:$L$71,3,FALSE)</f>
        <v>Autres matières et fournitures</v>
      </c>
      <c r="R236" s="53" t="str">
        <f>VLOOKUP($N236,'2 CODIFICATION'!$G$5:$L$71,4,FALSE)</f>
        <v>chges</v>
      </c>
      <c r="S236" s="53">
        <f>VLOOKUP($N236,'2 CODIFICATION'!$G$5:$L$71,5,FALSE)</f>
        <v>60</v>
      </c>
      <c r="T236" s="11" t="str">
        <f>VLOOKUP($N236,'2 CODIFICATION'!$G$5:$L$71,6,FALSE)</f>
        <v>Achat</v>
      </c>
    </row>
    <row r="237" spans="1:20" s="78" customFormat="1" ht="15" hidden="1" customHeight="1">
      <c r="A237" s="78" t="s">
        <v>197</v>
      </c>
      <c r="B237" s="78" t="s">
        <v>79</v>
      </c>
      <c r="C237" s="79"/>
      <c r="D237" s="80">
        <v>44926</v>
      </c>
      <c r="E237" s="79" t="s">
        <v>434</v>
      </c>
      <c r="F237" s="147"/>
      <c r="G237" s="81"/>
      <c r="H237" s="82">
        <v>1411</v>
      </c>
      <c r="I237" s="471">
        <f t="shared" si="22"/>
        <v>-9700.52</v>
      </c>
      <c r="J237" s="84" t="s">
        <v>198</v>
      </c>
      <c r="K237" s="20">
        <v>6250</v>
      </c>
      <c r="L237" s="74" t="str">
        <f>VLOOKUP($J237,'2 CODIFICATION'!A$5:B$21,2,"FAUX")</f>
        <v>HYGIENE MENSTRUELLE</v>
      </c>
      <c r="M237" s="74" t="str">
        <f>VLOOKUP($K237,'2 CODIFICATION'!D$8:E$64,2,"FAUX")</f>
        <v>déplacements</v>
      </c>
      <c r="N237" s="85">
        <f>+K237*100</f>
        <v>625000</v>
      </c>
      <c r="O237" s="14">
        <f>G237-H237</f>
        <v>-1411</v>
      </c>
      <c r="P237" s="84">
        <f>YEAR(D237)</f>
        <v>2022</v>
      </c>
      <c r="Q237" s="11" t="str">
        <f>VLOOKUP($N237,'2 CODIFICATION'!$G$5:$L$71,3,FALSE)</f>
        <v>Déplacements, missions et réceptions</v>
      </c>
      <c r="R237" s="53" t="str">
        <f>VLOOKUP($N237,'2 CODIFICATION'!$G$5:$L$71,4,FALSE)</f>
        <v>chges</v>
      </c>
      <c r="S237" s="53">
        <f>VLOOKUP($N237,'2 CODIFICATION'!$G$5:$L$71,5,FALSE)</f>
        <v>62</v>
      </c>
      <c r="T237" s="11" t="str">
        <f>VLOOKUP($N237,'2 CODIFICATION'!$G$5:$L$71,6,FALSE)</f>
        <v>Autres services extérieurs</v>
      </c>
    </row>
    <row r="238" spans="1:20" s="78" customFormat="1" ht="15" hidden="1" customHeight="1">
      <c r="A238" s="78" t="s">
        <v>197</v>
      </c>
      <c r="B238" s="78" t="s">
        <v>79</v>
      </c>
      <c r="C238" s="79"/>
      <c r="D238" s="80">
        <v>44926</v>
      </c>
      <c r="E238" s="79" t="s">
        <v>434</v>
      </c>
      <c r="F238" s="147"/>
      <c r="G238" s="81"/>
      <c r="H238" s="82">
        <v>500</v>
      </c>
      <c r="I238" s="471">
        <f t="shared" si="22"/>
        <v>-10200.52</v>
      </c>
      <c r="J238" s="84" t="s">
        <v>198</v>
      </c>
      <c r="K238" s="20">
        <v>6280</v>
      </c>
      <c r="L238" s="74" t="str">
        <f>VLOOKUP($J238,'2 CODIFICATION'!A$5:B$21,2,"FAUX")</f>
        <v>HYGIENE MENSTRUELLE</v>
      </c>
      <c r="M238" s="74" t="str">
        <f>VLOOKUP($K238,'2 CODIFICATION'!D$8:E$64,2,"FAUX")</f>
        <v>Divers</v>
      </c>
      <c r="N238" s="85">
        <f t="shared" si="23"/>
        <v>628000</v>
      </c>
      <c r="O238" s="14">
        <f t="shared" si="20"/>
        <v>-500</v>
      </c>
      <c r="P238" s="84">
        <f t="shared" si="21"/>
        <v>2022</v>
      </c>
      <c r="Q238" s="11" t="str">
        <f>VLOOKUP($N238,'2 CODIFICATION'!$G$5:$L$71,3,FALSE)</f>
        <v>Divers</v>
      </c>
      <c r="R238" s="53" t="str">
        <f>VLOOKUP($N238,'2 CODIFICATION'!$G$5:$L$71,4,FALSE)</f>
        <v>chges</v>
      </c>
      <c r="S238" s="53">
        <f>VLOOKUP($N238,'2 CODIFICATION'!$G$5:$L$71,5,FALSE)</f>
        <v>62</v>
      </c>
      <c r="T238" s="11" t="str">
        <f>VLOOKUP($N238,'2 CODIFICATION'!$G$5:$L$71,6,FALSE)</f>
        <v>Autres services extérieurs</v>
      </c>
    </row>
    <row r="239" spans="1:20" s="78" customFormat="1" ht="15" hidden="1" customHeight="1">
      <c r="A239" s="78" t="s">
        <v>197</v>
      </c>
      <c r="B239" s="78" t="s">
        <v>79</v>
      </c>
      <c r="C239" s="79"/>
      <c r="D239" s="80">
        <v>44926</v>
      </c>
      <c r="E239" s="86" t="s">
        <v>427</v>
      </c>
      <c r="F239" s="148"/>
      <c r="G239" s="81">
        <v>3700</v>
      </c>
      <c r="H239" s="82"/>
      <c r="I239" s="471">
        <f>I238+G239-H239</f>
        <v>-6500.52</v>
      </c>
      <c r="J239" s="84" t="s">
        <v>234</v>
      </c>
      <c r="K239" s="20">
        <v>7771</v>
      </c>
      <c r="L239" s="74" t="str">
        <f>VLOOKUP($J239,'2 CODIFICATION'!A$5:B$21,2,"FAUX")</f>
        <v>DASSOUTE TEUILLAC COLLEGE</v>
      </c>
      <c r="M239" s="74" t="str">
        <f>VLOOKUP($K239,'2 CODIFICATION'!D$8:E$64,2,"FAUX")</f>
        <v>Dons et participations à l"association</v>
      </c>
      <c r="N239" s="85">
        <f t="shared" si="23"/>
        <v>777100</v>
      </c>
      <c r="O239" s="14">
        <f t="shared" si="20"/>
        <v>3700</v>
      </c>
      <c r="P239" s="84">
        <f t="shared" si="21"/>
        <v>2022</v>
      </c>
      <c r="Q239" s="11" t="str">
        <f>VLOOKUP($N239,'2 CODIFICATION'!$G$5:$L$71,3,FALSE)</f>
        <v>Dons et autres mises à dispositions gratuites</v>
      </c>
      <c r="R239" s="53" t="str">
        <f>VLOOKUP($N239,'2 CODIFICATION'!$G$5:$L$71,4,FALSE)</f>
        <v>pdts</v>
      </c>
      <c r="S239" s="53">
        <f>VLOOKUP($N239,'2 CODIFICATION'!$G$5:$L$71,5,FALSE)</f>
        <v>77</v>
      </c>
      <c r="T239" s="11" t="str">
        <f>VLOOKUP($N239,'2 CODIFICATION'!$G$5:$L$71,6,FALSE)</f>
        <v>Produits exceptionnels</v>
      </c>
    </row>
    <row r="240" spans="1:20" s="78" customFormat="1" ht="15" hidden="1" customHeight="1">
      <c r="A240" s="78" t="s">
        <v>197</v>
      </c>
      <c r="B240" s="78" t="s">
        <v>79</v>
      </c>
      <c r="C240" s="79"/>
      <c r="D240" s="80">
        <v>44926</v>
      </c>
      <c r="E240" s="86" t="s">
        <v>427</v>
      </c>
      <c r="F240" s="148"/>
      <c r="G240" s="81"/>
      <c r="H240" s="82">
        <v>3000</v>
      </c>
      <c r="I240" s="471">
        <f t="shared" si="22"/>
        <v>-9500.52</v>
      </c>
      <c r="J240" s="84" t="s">
        <v>234</v>
      </c>
      <c r="K240" s="20">
        <v>6070</v>
      </c>
      <c r="L240" s="74" t="str">
        <f>VLOOKUP($J240,'2 CODIFICATION'!A$5:B$21,2,"FAUX")</f>
        <v>DASSOUTE TEUILLAC COLLEGE</v>
      </c>
      <c r="M240" s="74" t="str">
        <f>VLOOKUP($K240,'2 CODIFICATION'!D$8:E$64,2,"FAUX")</f>
        <v>Achats matériaux</v>
      </c>
      <c r="N240" s="85">
        <f t="shared" si="23"/>
        <v>607000</v>
      </c>
      <c r="O240" s="14">
        <f>G240-H240</f>
        <v>-3000</v>
      </c>
      <c r="P240" s="84">
        <f>YEAR(D240)</f>
        <v>2022</v>
      </c>
      <c r="Q240" s="11" t="str">
        <f>VLOOKUP($N240,'2 CODIFICATION'!$G$5:$L$71,3,FALSE)</f>
        <v>Achats matériaux</v>
      </c>
      <c r="R240" s="53" t="str">
        <f>VLOOKUP($N240,'2 CODIFICATION'!$G$5:$L$71,4,FALSE)</f>
        <v>chges</v>
      </c>
      <c r="S240" s="53">
        <f>VLOOKUP($N240,'2 CODIFICATION'!$G$5:$L$71,5,FALSE)</f>
        <v>60</v>
      </c>
      <c r="T240" s="11" t="str">
        <f>VLOOKUP($N240,'2 CODIFICATION'!$G$5:$L$71,6,FALSE)</f>
        <v>Achat</v>
      </c>
    </row>
    <row r="241" spans="1:20" s="78" customFormat="1" ht="15" hidden="1" customHeight="1">
      <c r="A241" s="78" t="s">
        <v>197</v>
      </c>
      <c r="B241" s="78" t="s">
        <v>79</v>
      </c>
      <c r="C241" s="79"/>
      <c r="D241" s="80">
        <v>44926</v>
      </c>
      <c r="E241" s="86" t="s">
        <v>427</v>
      </c>
      <c r="F241" s="148"/>
      <c r="G241" s="81"/>
      <c r="H241" s="82">
        <v>500</v>
      </c>
      <c r="I241" s="471">
        <f t="shared" si="22"/>
        <v>-10000.52</v>
      </c>
      <c r="J241" s="84" t="s">
        <v>234</v>
      </c>
      <c r="K241" s="20">
        <v>6071</v>
      </c>
      <c r="L241" s="74" t="str">
        <f>VLOOKUP($J241,'2 CODIFICATION'!A$5:B$21,2,"FAUX")</f>
        <v>DASSOUTE TEUILLAC COLLEGE</v>
      </c>
      <c r="M241" s="74" t="str">
        <f>VLOOKUP($K241,'2 CODIFICATION'!D$8:E$64,2,"FAUX")</f>
        <v>Achats fournitures et matériels</v>
      </c>
      <c r="N241" s="85">
        <f t="shared" si="23"/>
        <v>607100</v>
      </c>
      <c r="O241" s="14">
        <f>G241-H241</f>
        <v>-500</v>
      </c>
      <c r="P241" s="84">
        <f>YEAR(D241)</f>
        <v>2022</v>
      </c>
      <c r="Q241" s="11" t="str">
        <f>VLOOKUP($N241,'2 CODIFICATION'!$G$5:$L$71,3,FALSE)</f>
        <v>Achats fournitures et matériels</v>
      </c>
      <c r="R241" s="53" t="str">
        <f>VLOOKUP($N241,'2 CODIFICATION'!$G$5:$L$71,4,FALSE)</f>
        <v>chges</v>
      </c>
      <c r="S241" s="53">
        <f>VLOOKUP($N241,'2 CODIFICATION'!$G$5:$L$71,5,FALSE)</f>
        <v>60</v>
      </c>
      <c r="T241" s="11" t="str">
        <f>VLOOKUP($N241,'2 CODIFICATION'!$G$5:$L$71,6,FALSE)</f>
        <v>Services extérieurs</v>
      </c>
    </row>
    <row r="242" spans="1:20" s="78" customFormat="1" ht="15" hidden="1" customHeight="1">
      <c r="A242" s="78" t="s">
        <v>197</v>
      </c>
      <c r="B242" s="78" t="s">
        <v>79</v>
      </c>
      <c r="C242" s="79"/>
      <c r="D242" s="80">
        <v>44926</v>
      </c>
      <c r="E242" s="86" t="s">
        <v>427</v>
      </c>
      <c r="F242" s="148"/>
      <c r="G242" s="81"/>
      <c r="H242" s="82">
        <v>200</v>
      </c>
      <c r="I242" s="471">
        <f t="shared" si="22"/>
        <v>-10200.52</v>
      </c>
      <c r="J242" s="84" t="s">
        <v>234</v>
      </c>
      <c r="K242" s="20">
        <v>6230</v>
      </c>
      <c r="L242" s="74" t="str">
        <f>VLOOKUP($J242,'2 CODIFICATION'!A$5:B$21,2,"FAUX")</f>
        <v>DASSOUTE TEUILLAC COLLEGE</v>
      </c>
      <c r="M242" s="74" t="str">
        <f>VLOOKUP($K242,'2 CODIFICATION'!D$8:E$64,2,"FAUX")</f>
        <v>communication</v>
      </c>
      <c r="N242" s="85">
        <f t="shared" si="23"/>
        <v>623000</v>
      </c>
      <c r="O242" s="14">
        <f>G242-H242</f>
        <v>-200</v>
      </c>
      <c r="P242" s="84">
        <f>YEAR(D242)</f>
        <v>2022</v>
      </c>
      <c r="Q242" s="11" t="str">
        <f>VLOOKUP($N242,'2 CODIFICATION'!$G$5:$L$71,3,FALSE)</f>
        <v>Publicité, publications, Création de site web</v>
      </c>
      <c r="R242" s="53" t="str">
        <f>VLOOKUP($N242,'2 CODIFICATION'!$G$5:$L$71,4,FALSE)</f>
        <v>chges</v>
      </c>
      <c r="S242" s="53">
        <f>VLOOKUP($N242,'2 CODIFICATION'!$G$5:$L$71,5,FALSE)</f>
        <v>62</v>
      </c>
      <c r="T242" s="11" t="str">
        <f>VLOOKUP($N242,'2 CODIFICATION'!$G$5:$L$71,6,FALSE)</f>
        <v>Autres services extérieurs</v>
      </c>
    </row>
    <row r="243" spans="1:20" s="78" customFormat="1" ht="15" hidden="1" customHeight="1">
      <c r="A243" s="78" t="s">
        <v>197</v>
      </c>
      <c r="B243" s="78" t="s">
        <v>79</v>
      </c>
      <c r="C243" s="79"/>
      <c r="D243" s="80">
        <v>44926</v>
      </c>
      <c r="E243" s="86" t="s">
        <v>428</v>
      </c>
      <c r="F243" s="148"/>
      <c r="G243" s="81">
        <v>9100</v>
      </c>
      <c r="H243" s="82"/>
      <c r="I243" s="471">
        <f t="shared" si="22"/>
        <v>-1100.5200000000004</v>
      </c>
      <c r="J243" s="84" t="s">
        <v>306</v>
      </c>
      <c r="K243" s="20">
        <v>7771</v>
      </c>
      <c r="L243" s="74" t="str">
        <f>VLOOKUP($J243,'2 CODIFICATION'!A$5:B$21,2,"FAUX")</f>
        <v>DASSOUTE TEUILLAC CANTINE</v>
      </c>
      <c r="M243" s="74" t="str">
        <f>VLOOKUP($K243,'2 CODIFICATION'!D$8:E$64,2,"FAUX")</f>
        <v>Dons et participations à l"association</v>
      </c>
      <c r="N243" s="85">
        <f t="shared" si="23"/>
        <v>777100</v>
      </c>
      <c r="O243" s="14">
        <f t="shared" si="20"/>
        <v>9100</v>
      </c>
      <c r="P243" s="84">
        <f t="shared" si="21"/>
        <v>2022</v>
      </c>
      <c r="Q243" s="11" t="str">
        <f>VLOOKUP($N243,'2 CODIFICATION'!$G$5:$L$71,3,FALSE)</f>
        <v>Dons et autres mises à dispositions gratuites</v>
      </c>
      <c r="R243" s="53" t="str">
        <f>VLOOKUP($N243,'2 CODIFICATION'!$G$5:$L$71,4,FALSE)</f>
        <v>pdts</v>
      </c>
      <c r="S243" s="53">
        <f>VLOOKUP($N243,'2 CODIFICATION'!$G$5:$L$71,5,FALSE)</f>
        <v>77</v>
      </c>
      <c r="T243" s="11" t="str">
        <f>VLOOKUP($N243,'2 CODIFICATION'!$G$5:$L$71,6,FALSE)</f>
        <v>Produits exceptionnels</v>
      </c>
    </row>
    <row r="244" spans="1:20" s="78" customFormat="1" ht="15" hidden="1" customHeight="1">
      <c r="A244" s="78" t="s">
        <v>197</v>
      </c>
      <c r="B244" s="78" t="s">
        <v>79</v>
      </c>
      <c r="C244" s="79"/>
      <c r="D244" s="80">
        <v>44926</v>
      </c>
      <c r="E244" s="86" t="s">
        <v>428</v>
      </c>
      <c r="F244" s="148"/>
      <c r="G244" s="81"/>
      <c r="H244" s="82">
        <v>4600</v>
      </c>
      <c r="I244" s="471">
        <f t="shared" si="22"/>
        <v>-5700.52</v>
      </c>
      <c r="J244" s="84" t="s">
        <v>306</v>
      </c>
      <c r="K244" s="20">
        <v>6070</v>
      </c>
      <c r="L244" s="74" t="str">
        <f>VLOOKUP($J244,'2 CODIFICATION'!A$5:B$21,2,"FAUX")</f>
        <v>DASSOUTE TEUILLAC CANTINE</v>
      </c>
      <c r="M244" s="74" t="str">
        <f>VLOOKUP($K244,'2 CODIFICATION'!D$8:E$64,2,"FAUX")</f>
        <v>Achats matériaux</v>
      </c>
      <c r="N244" s="85">
        <f t="shared" si="23"/>
        <v>607000</v>
      </c>
      <c r="O244" s="14">
        <f>G244-H244</f>
        <v>-4600</v>
      </c>
      <c r="P244" s="84">
        <f>YEAR(D244)</f>
        <v>2022</v>
      </c>
      <c r="Q244" s="11" t="str">
        <f>VLOOKUP($N244,'2 CODIFICATION'!$G$5:$L$71,3,FALSE)</f>
        <v>Achats matériaux</v>
      </c>
      <c r="R244" s="53" t="str">
        <f>VLOOKUP($N244,'2 CODIFICATION'!$G$5:$L$71,4,FALSE)</f>
        <v>chges</v>
      </c>
      <c r="S244" s="53">
        <f>VLOOKUP($N244,'2 CODIFICATION'!$G$5:$L$71,5,FALSE)</f>
        <v>60</v>
      </c>
      <c r="T244" s="11" t="str">
        <f>VLOOKUP($N244,'2 CODIFICATION'!$G$5:$L$71,6,FALSE)</f>
        <v>Achat</v>
      </c>
    </row>
    <row r="245" spans="1:20" s="78" customFormat="1" ht="15" hidden="1" customHeight="1">
      <c r="A245" s="78" t="s">
        <v>197</v>
      </c>
      <c r="B245" s="78" t="s">
        <v>79</v>
      </c>
      <c r="C245" s="79"/>
      <c r="D245" s="80">
        <v>44926</v>
      </c>
      <c r="E245" s="86" t="s">
        <v>428</v>
      </c>
      <c r="F245" s="148"/>
      <c r="G245" s="81"/>
      <c r="H245" s="82">
        <v>3500</v>
      </c>
      <c r="I245" s="471">
        <f t="shared" si="22"/>
        <v>-9200.52</v>
      </c>
      <c r="J245" s="84" t="s">
        <v>306</v>
      </c>
      <c r="K245" s="20">
        <v>6071</v>
      </c>
      <c r="L245" s="74" t="str">
        <f>VLOOKUP($J245,'2 CODIFICATION'!A$5:B$21,2,"FAUX")</f>
        <v>DASSOUTE TEUILLAC CANTINE</v>
      </c>
      <c r="M245" s="74" t="str">
        <f>VLOOKUP($K245,'2 CODIFICATION'!D$8:E$64,2,"FAUX")</f>
        <v>Achats fournitures et matériels</v>
      </c>
      <c r="N245" s="85">
        <f t="shared" si="23"/>
        <v>607100</v>
      </c>
      <c r="O245" s="14">
        <f>G245-H245</f>
        <v>-3500</v>
      </c>
      <c r="P245" s="84">
        <f>YEAR(D245)</f>
        <v>2022</v>
      </c>
      <c r="Q245" s="11" t="str">
        <f>VLOOKUP($N245,'2 CODIFICATION'!$G$5:$L$71,3,FALSE)</f>
        <v>Achats fournitures et matériels</v>
      </c>
      <c r="R245" s="53" t="str">
        <f>VLOOKUP($N245,'2 CODIFICATION'!$G$5:$L$71,4,FALSE)</f>
        <v>chges</v>
      </c>
      <c r="S245" s="53">
        <f>VLOOKUP($N245,'2 CODIFICATION'!$G$5:$L$71,5,FALSE)</f>
        <v>60</v>
      </c>
      <c r="T245" s="11" t="str">
        <f>VLOOKUP($N245,'2 CODIFICATION'!$G$5:$L$71,6,FALSE)</f>
        <v>Services extérieurs</v>
      </c>
    </row>
    <row r="246" spans="1:20" s="78" customFormat="1" ht="15" hidden="1" customHeight="1">
      <c r="A246" s="78" t="s">
        <v>197</v>
      </c>
      <c r="B246" s="78" t="s">
        <v>79</v>
      </c>
      <c r="C246" s="79"/>
      <c r="D246" s="80">
        <v>44926</v>
      </c>
      <c r="E246" s="86" t="s">
        <v>428</v>
      </c>
      <c r="F246" s="148"/>
      <c r="G246" s="81"/>
      <c r="H246" s="82">
        <v>500</v>
      </c>
      <c r="I246" s="471">
        <f t="shared" si="22"/>
        <v>-9700.52</v>
      </c>
      <c r="J246" s="84" t="s">
        <v>306</v>
      </c>
      <c r="K246" s="20">
        <v>6230</v>
      </c>
      <c r="L246" s="74" t="str">
        <f>VLOOKUP($J246,'2 CODIFICATION'!A$5:B$21,2,"FAUX")</f>
        <v>DASSOUTE TEUILLAC CANTINE</v>
      </c>
      <c r="M246" s="74" t="str">
        <f>VLOOKUP($K246,'2 CODIFICATION'!D$8:E$64,2,"FAUX")</f>
        <v>communication</v>
      </c>
      <c r="N246" s="85">
        <f t="shared" si="23"/>
        <v>623000</v>
      </c>
      <c r="O246" s="14">
        <f>G246-H246</f>
        <v>-500</v>
      </c>
      <c r="P246" s="84">
        <f>YEAR(D246)</f>
        <v>2022</v>
      </c>
      <c r="Q246" s="11" t="str">
        <f>VLOOKUP($N246,'2 CODIFICATION'!$G$5:$L$71,3,FALSE)</f>
        <v>Publicité, publications, Création de site web</v>
      </c>
      <c r="R246" s="53" t="str">
        <f>VLOOKUP($N246,'2 CODIFICATION'!$G$5:$L$71,4,FALSE)</f>
        <v>chges</v>
      </c>
      <c r="S246" s="53">
        <f>VLOOKUP($N246,'2 CODIFICATION'!$G$5:$L$71,5,FALSE)</f>
        <v>62</v>
      </c>
      <c r="T246" s="11" t="str">
        <f>VLOOKUP($N246,'2 CODIFICATION'!$G$5:$L$71,6,FALSE)</f>
        <v>Autres services extérieurs</v>
      </c>
    </row>
    <row r="247" spans="1:20" s="78" customFormat="1" ht="15" hidden="1" customHeight="1">
      <c r="A247" s="78" t="s">
        <v>197</v>
      </c>
      <c r="B247" s="78" t="s">
        <v>79</v>
      </c>
      <c r="C247" s="79"/>
      <c r="D247" s="80">
        <v>44926</v>
      </c>
      <c r="E247" s="86" t="s">
        <v>428</v>
      </c>
      <c r="F247" s="148"/>
      <c r="G247" s="81"/>
      <c r="H247" s="82">
        <v>500</v>
      </c>
      <c r="I247" s="471">
        <f t="shared" si="22"/>
        <v>-10200.52</v>
      </c>
      <c r="J247" s="84" t="s">
        <v>306</v>
      </c>
      <c r="K247" s="20">
        <v>6228</v>
      </c>
      <c r="L247" s="74" t="str">
        <f>VLOOKUP($J247,'2 CODIFICATION'!A$5:B$21,2,"FAUX")</f>
        <v>DASSOUTE TEUILLAC CANTINE</v>
      </c>
      <c r="M247" s="74" t="str">
        <f>VLOOKUP($K247,'2 CODIFICATION'!D$8:E$64,2,"FAUX")</f>
        <v>formation</v>
      </c>
      <c r="N247" s="85">
        <f t="shared" si="23"/>
        <v>622800</v>
      </c>
      <c r="O247" s="14">
        <f>G247-H247</f>
        <v>-500</v>
      </c>
      <c r="P247" s="84">
        <f>YEAR(D247)</f>
        <v>2022</v>
      </c>
      <c r="Q247" s="11" t="str">
        <f>VLOOKUP($N247,'2 CODIFICATION'!$G$5:$L$71,3,FALSE)</f>
        <v>Frais de formation</v>
      </c>
      <c r="R247" s="53" t="str">
        <f>VLOOKUP($N247,'2 CODIFICATION'!$G$5:$L$71,4,FALSE)</f>
        <v>chges</v>
      </c>
      <c r="S247" s="53">
        <f>VLOOKUP($N247,'2 CODIFICATION'!$G$5:$L$71,5,FALSE)</f>
        <v>62</v>
      </c>
      <c r="T247" s="11" t="str">
        <f>VLOOKUP($N247,'2 CODIFICATION'!$G$5:$L$71,6,FALSE)</f>
        <v>Autres services extérieurs</v>
      </c>
    </row>
    <row r="248" spans="1:20" s="78" customFormat="1" ht="14.5" hidden="1" customHeight="1">
      <c r="A248" s="78" t="s">
        <v>197</v>
      </c>
      <c r="B248" s="78" t="s">
        <v>79</v>
      </c>
      <c r="C248" s="79"/>
      <c r="D248" s="80">
        <v>44926</v>
      </c>
      <c r="E248" s="86" t="s">
        <v>429</v>
      </c>
      <c r="F248" s="148"/>
      <c r="G248" s="81">
        <v>3000</v>
      </c>
      <c r="H248" s="82"/>
      <c r="I248" s="471">
        <f t="shared" si="22"/>
        <v>-7200.52</v>
      </c>
      <c r="J248" s="84" t="s">
        <v>422</v>
      </c>
      <c r="K248" s="20">
        <v>7771</v>
      </c>
      <c r="L248" s="74" t="str">
        <f>VLOOKUP($J248,'2 CODIFICATION'!A$5:B$21,2,"FAUX")</f>
        <v>AGRICULTURE</v>
      </c>
      <c r="M248" s="74" t="str">
        <f>VLOOKUP($K248,'2 CODIFICATION'!D$8:E$64,2,"FAUX")</f>
        <v>Dons et participations à l"association</v>
      </c>
      <c r="N248" s="85">
        <f t="shared" si="23"/>
        <v>777100</v>
      </c>
      <c r="O248" s="14">
        <f t="shared" si="20"/>
        <v>3000</v>
      </c>
      <c r="P248" s="84">
        <f t="shared" si="21"/>
        <v>2022</v>
      </c>
      <c r="Q248" s="11" t="str">
        <f>VLOOKUP($N248,'2 CODIFICATION'!$G$5:$L$71,3,FALSE)</f>
        <v>Dons et autres mises à dispositions gratuites</v>
      </c>
      <c r="R248" s="53" t="str">
        <f>VLOOKUP($N248,'2 CODIFICATION'!$G$5:$L$71,4,FALSE)</f>
        <v>pdts</v>
      </c>
      <c r="S248" s="53">
        <f>VLOOKUP($N248,'2 CODIFICATION'!$G$5:$L$71,5,FALSE)</f>
        <v>77</v>
      </c>
      <c r="T248" s="11" t="str">
        <f>VLOOKUP($N248,'2 CODIFICATION'!$G$5:$L$71,6,FALSE)</f>
        <v>Produits exceptionnels</v>
      </c>
    </row>
    <row r="249" spans="1:20" s="78" customFormat="1" ht="14.5" hidden="1" customHeight="1">
      <c r="A249" s="78" t="s">
        <v>197</v>
      </c>
      <c r="B249" s="78" t="s">
        <v>79</v>
      </c>
      <c r="C249" s="79"/>
      <c r="D249" s="80">
        <v>44926</v>
      </c>
      <c r="E249" s="86" t="s">
        <v>429</v>
      </c>
      <c r="F249" s="148"/>
      <c r="G249" s="81"/>
      <c r="H249" s="82">
        <v>2900</v>
      </c>
      <c r="I249" s="471">
        <f t="shared" si="22"/>
        <v>-10100.52</v>
      </c>
      <c r="J249" s="84" t="s">
        <v>422</v>
      </c>
      <c r="K249" s="20">
        <v>6070</v>
      </c>
      <c r="L249" s="74" t="str">
        <f>VLOOKUP($J249,'2 CODIFICATION'!A$5:B$21,2,"FAUX")</f>
        <v>AGRICULTURE</v>
      </c>
      <c r="M249" s="74" t="str">
        <f>VLOOKUP($K249,'2 CODIFICATION'!D$8:E$64,2,"FAUX")</f>
        <v>Achats matériaux</v>
      </c>
      <c r="N249" s="85">
        <f t="shared" si="23"/>
        <v>607000</v>
      </c>
      <c r="O249" s="14">
        <f>G249-H249</f>
        <v>-2900</v>
      </c>
      <c r="P249" s="84">
        <f>YEAR(D249)</f>
        <v>2022</v>
      </c>
      <c r="Q249" s="11" t="str">
        <f>VLOOKUP($N249,'2 CODIFICATION'!$G$5:$L$71,3,FALSE)</f>
        <v>Achats matériaux</v>
      </c>
      <c r="R249" s="53" t="str">
        <f>VLOOKUP($N249,'2 CODIFICATION'!$G$5:$L$71,4,FALSE)</f>
        <v>chges</v>
      </c>
      <c r="S249" s="53">
        <f>VLOOKUP($N249,'2 CODIFICATION'!$G$5:$L$71,5,FALSE)</f>
        <v>60</v>
      </c>
      <c r="T249" s="11" t="str">
        <f>VLOOKUP($N249,'2 CODIFICATION'!$G$5:$L$71,6,FALSE)</f>
        <v>Achat</v>
      </c>
    </row>
    <row r="250" spans="1:20" s="78" customFormat="1" ht="14.5" hidden="1" customHeight="1">
      <c r="A250" s="78" t="s">
        <v>197</v>
      </c>
      <c r="B250" s="78" t="s">
        <v>79</v>
      </c>
      <c r="C250" s="79"/>
      <c r="D250" s="80">
        <v>44926</v>
      </c>
      <c r="E250" s="86" t="s">
        <v>429</v>
      </c>
      <c r="F250" s="148"/>
      <c r="G250" s="81"/>
      <c r="H250" s="82">
        <v>100</v>
      </c>
      <c r="I250" s="471">
        <f t="shared" si="22"/>
        <v>-10200.52</v>
      </c>
      <c r="J250" s="84" t="s">
        <v>422</v>
      </c>
      <c r="K250" s="20">
        <v>6230</v>
      </c>
      <c r="L250" s="74" t="str">
        <f>VLOOKUP($J250,'2 CODIFICATION'!A$5:B$21,2,"FAUX")</f>
        <v>AGRICULTURE</v>
      </c>
      <c r="M250" s="74" t="str">
        <f>VLOOKUP($K250,'2 CODIFICATION'!D$8:E$64,2,"FAUX")</f>
        <v>communication</v>
      </c>
      <c r="N250" s="85">
        <f t="shared" si="23"/>
        <v>623000</v>
      </c>
      <c r="O250" s="14">
        <f>G250-H250</f>
        <v>-100</v>
      </c>
      <c r="P250" s="84">
        <f>YEAR(D250)</f>
        <v>2022</v>
      </c>
      <c r="Q250" s="11" t="str">
        <f>VLOOKUP($N250,'2 CODIFICATION'!$G$5:$L$71,3,FALSE)</f>
        <v>Publicité, publications, Création de site web</v>
      </c>
      <c r="R250" s="53" t="str">
        <f>VLOOKUP($N250,'2 CODIFICATION'!$G$5:$L$71,4,FALSE)</f>
        <v>chges</v>
      </c>
      <c r="S250" s="53">
        <f>VLOOKUP($N250,'2 CODIFICATION'!$G$5:$L$71,5,FALSE)</f>
        <v>62</v>
      </c>
      <c r="T250" s="11" t="str">
        <f>VLOOKUP($N250,'2 CODIFICATION'!$G$5:$L$71,6,FALSE)</f>
        <v>Autres services extérieurs</v>
      </c>
    </row>
    <row r="251" spans="1:20" s="78" customFormat="1" ht="15" hidden="1" customHeight="1">
      <c r="A251" s="78" t="s">
        <v>197</v>
      </c>
      <c r="B251" s="78" t="s">
        <v>79</v>
      </c>
      <c r="C251" s="79"/>
      <c r="D251" s="80">
        <v>44926</v>
      </c>
      <c r="E251" s="86" t="s">
        <v>430</v>
      </c>
      <c r="F251" s="148"/>
      <c r="G251" s="81">
        <v>1500</v>
      </c>
      <c r="H251" s="82"/>
      <c r="I251" s="471">
        <f t="shared" si="22"/>
        <v>-8700.52</v>
      </c>
      <c r="J251" s="84" t="s">
        <v>423</v>
      </c>
      <c r="K251" s="20">
        <v>7771</v>
      </c>
      <c r="L251" s="74" t="str">
        <f>VLOOKUP($J251,'2 CODIFICATION'!A$5:B$21,2,"FAUX")</f>
        <v>EGLISE DASSOUTE</v>
      </c>
      <c r="M251" s="74" t="str">
        <f>VLOOKUP($K251,'2 CODIFICATION'!D$8:E$64,2,"FAUX")</f>
        <v>Dons et participations à l"association</v>
      </c>
      <c r="N251" s="85">
        <f t="shared" si="23"/>
        <v>777100</v>
      </c>
      <c r="O251" s="14">
        <f>G251-H251</f>
        <v>1500</v>
      </c>
      <c r="P251" s="84">
        <f>YEAR(D251)</f>
        <v>2022</v>
      </c>
      <c r="Q251" s="11" t="str">
        <f>VLOOKUP($N251,'2 CODIFICATION'!$G$5:$L$71,3,FALSE)</f>
        <v>Dons et autres mises à dispositions gratuites</v>
      </c>
      <c r="R251" s="53" t="str">
        <f>VLOOKUP($N251,'2 CODIFICATION'!$G$5:$L$71,4,FALSE)</f>
        <v>pdts</v>
      </c>
      <c r="S251" s="53">
        <f>VLOOKUP($N251,'2 CODIFICATION'!$G$5:$L$71,5,FALSE)</f>
        <v>77</v>
      </c>
      <c r="T251" s="11" t="str">
        <f>VLOOKUP($N251,'2 CODIFICATION'!$G$5:$L$71,6,FALSE)</f>
        <v>Produits exceptionnels</v>
      </c>
    </row>
    <row r="252" spans="1:20" s="78" customFormat="1" ht="15" hidden="1" customHeight="1">
      <c r="A252" s="78" t="s">
        <v>197</v>
      </c>
      <c r="B252" s="78" t="s">
        <v>79</v>
      </c>
      <c r="C252" s="79"/>
      <c r="D252" s="80">
        <v>44926</v>
      </c>
      <c r="E252" s="86" t="s">
        <v>430</v>
      </c>
      <c r="F252" s="148"/>
      <c r="G252" s="81"/>
      <c r="H252" s="82">
        <v>1300</v>
      </c>
      <c r="I252" s="471">
        <f t="shared" si="22"/>
        <v>-10000.52</v>
      </c>
      <c r="J252" s="84" t="s">
        <v>423</v>
      </c>
      <c r="K252" s="20">
        <v>6070</v>
      </c>
      <c r="L252" s="74" t="str">
        <f>VLOOKUP($J252,'2 CODIFICATION'!A$5:B$21,2,"FAUX")</f>
        <v>EGLISE DASSOUTE</v>
      </c>
      <c r="M252" s="74" t="str">
        <f>VLOOKUP($K252,'2 CODIFICATION'!D$8:E$64,2,"FAUX")</f>
        <v>Achats matériaux</v>
      </c>
      <c r="N252" s="85">
        <f t="shared" si="23"/>
        <v>607000</v>
      </c>
      <c r="O252" s="14">
        <f>G252-H252</f>
        <v>-1300</v>
      </c>
      <c r="P252" s="84">
        <f>YEAR(D252)</f>
        <v>2022</v>
      </c>
      <c r="Q252" s="11" t="str">
        <f>VLOOKUP($N252,'2 CODIFICATION'!$G$5:$L$71,3,FALSE)</f>
        <v>Achats matériaux</v>
      </c>
      <c r="R252" s="53" t="str">
        <f>VLOOKUP($N252,'2 CODIFICATION'!$G$5:$L$71,4,FALSE)</f>
        <v>chges</v>
      </c>
      <c r="S252" s="53">
        <f>VLOOKUP($N252,'2 CODIFICATION'!$G$5:$L$71,5,FALSE)</f>
        <v>60</v>
      </c>
      <c r="T252" s="11" t="str">
        <f>VLOOKUP($N252,'2 CODIFICATION'!$G$5:$L$71,6,FALSE)</f>
        <v>Achat</v>
      </c>
    </row>
    <row r="253" spans="1:20" s="78" customFormat="1" ht="15" hidden="1" customHeight="1">
      <c r="A253" s="78" t="s">
        <v>197</v>
      </c>
      <c r="B253" s="78" t="s">
        <v>79</v>
      </c>
      <c r="C253" s="79"/>
      <c r="D253" s="80">
        <v>44926</v>
      </c>
      <c r="E253" s="86" t="s">
        <v>430</v>
      </c>
      <c r="F253" s="148"/>
      <c r="G253" s="81"/>
      <c r="H253" s="82">
        <v>200</v>
      </c>
      <c r="I253" s="471">
        <f t="shared" si="22"/>
        <v>-10200.52</v>
      </c>
      <c r="J253" s="84" t="s">
        <v>423</v>
      </c>
      <c r="K253" s="20">
        <v>6230</v>
      </c>
      <c r="L253" s="74" t="str">
        <f>VLOOKUP($J253,'2 CODIFICATION'!A$5:B$21,2,"FAUX")</f>
        <v>EGLISE DASSOUTE</v>
      </c>
      <c r="M253" s="74" t="str">
        <f>VLOOKUP($K253,'2 CODIFICATION'!D$8:E$64,2,"FAUX")</f>
        <v>communication</v>
      </c>
      <c r="N253" s="85">
        <f t="shared" si="23"/>
        <v>623000</v>
      </c>
      <c r="O253" s="14">
        <f>G253-H253</f>
        <v>-200</v>
      </c>
      <c r="P253" s="84">
        <f>YEAR(D253)</f>
        <v>2022</v>
      </c>
      <c r="Q253" s="11" t="str">
        <f>VLOOKUP($N253,'2 CODIFICATION'!$G$5:$L$71,3,FALSE)</f>
        <v>Publicité, publications, Création de site web</v>
      </c>
      <c r="R253" s="53" t="str">
        <f>VLOOKUP($N253,'2 CODIFICATION'!$G$5:$L$71,4,FALSE)</f>
        <v>chges</v>
      </c>
      <c r="S253" s="53">
        <f>VLOOKUP($N253,'2 CODIFICATION'!$G$5:$L$71,5,FALSE)</f>
        <v>62</v>
      </c>
      <c r="T253" s="11" t="str">
        <f>VLOOKUP($N253,'2 CODIFICATION'!$G$5:$L$71,6,FALSE)</f>
        <v>Autres services extérieurs</v>
      </c>
    </row>
    <row r="254" spans="1:20" s="78" customFormat="1" ht="15" hidden="1" customHeight="1">
      <c r="A254" s="78" t="s">
        <v>197</v>
      </c>
      <c r="B254" s="78" t="s">
        <v>79</v>
      </c>
      <c r="C254" s="79"/>
      <c r="D254" s="80">
        <v>44926</v>
      </c>
      <c r="E254" s="86" t="s">
        <v>431</v>
      </c>
      <c r="F254" s="148"/>
      <c r="G254" s="81">
        <v>400</v>
      </c>
      <c r="H254" s="82"/>
      <c r="I254" s="471">
        <f t="shared" si="22"/>
        <v>-9800.52</v>
      </c>
      <c r="J254" s="84" t="s">
        <v>425</v>
      </c>
      <c r="K254" s="20">
        <v>7771</v>
      </c>
      <c r="L254" s="74" t="str">
        <f>VLOOKUP($J254,'2 CODIFICATION'!A$5:B$21,2,"FAUX")</f>
        <v>MATERIELS DASSOUTE</v>
      </c>
      <c r="M254" s="74" t="str">
        <f>VLOOKUP($K254,'2 CODIFICATION'!D$8:E$64,2,"FAUX")</f>
        <v>Dons et participations à l"association</v>
      </c>
      <c r="N254" s="85">
        <f t="shared" si="23"/>
        <v>777100</v>
      </c>
      <c r="O254" s="14">
        <f t="shared" si="20"/>
        <v>400</v>
      </c>
      <c r="P254" s="84">
        <f t="shared" si="21"/>
        <v>2022</v>
      </c>
      <c r="Q254" s="11" t="str">
        <f>VLOOKUP($N254,'2 CODIFICATION'!$G$5:$L$71,3,FALSE)</f>
        <v>Dons et autres mises à dispositions gratuites</v>
      </c>
      <c r="R254" s="53" t="str">
        <f>VLOOKUP($N254,'2 CODIFICATION'!$G$5:$L$71,4,FALSE)</f>
        <v>pdts</v>
      </c>
      <c r="S254" s="53">
        <f>VLOOKUP($N254,'2 CODIFICATION'!$G$5:$L$71,5,FALSE)</f>
        <v>77</v>
      </c>
      <c r="T254" s="11" t="str">
        <f>VLOOKUP($N254,'2 CODIFICATION'!$G$5:$L$71,6,FALSE)</f>
        <v>Produits exceptionnels</v>
      </c>
    </row>
    <row r="255" spans="1:20" s="78" customFormat="1" ht="15" hidden="1" customHeight="1">
      <c r="A255" s="78" t="s">
        <v>197</v>
      </c>
      <c r="B255" s="78" t="s">
        <v>79</v>
      </c>
      <c r="C255" s="79"/>
      <c r="D255" s="80">
        <v>44926</v>
      </c>
      <c r="E255" s="86" t="s">
        <v>431</v>
      </c>
      <c r="F255" s="148"/>
      <c r="G255" s="81"/>
      <c r="H255" s="82">
        <v>200</v>
      </c>
      <c r="I255" s="471">
        <f t="shared" si="22"/>
        <v>-10000.52</v>
      </c>
      <c r="J255" s="84" t="s">
        <v>425</v>
      </c>
      <c r="K255" s="20">
        <v>6071</v>
      </c>
      <c r="L255" s="74" t="str">
        <f>VLOOKUP($J255,'2 CODIFICATION'!A$5:B$21,2,"FAUX")</f>
        <v>MATERIELS DASSOUTE</v>
      </c>
      <c r="M255" s="74" t="str">
        <f>VLOOKUP($K255,'2 CODIFICATION'!D$8:E$64,2,"FAUX")</f>
        <v>Achats fournitures et matériels</v>
      </c>
      <c r="N255" s="85">
        <f t="shared" si="23"/>
        <v>607100</v>
      </c>
      <c r="O255" s="14">
        <f>G255-H255</f>
        <v>-200</v>
      </c>
      <c r="P255" s="84">
        <f>YEAR(D255)</f>
        <v>2022</v>
      </c>
      <c r="Q255" s="11" t="str">
        <f>VLOOKUP($N255,'2 CODIFICATION'!$G$5:$L$71,3,FALSE)</f>
        <v>Achats fournitures et matériels</v>
      </c>
      <c r="R255" s="53" t="str">
        <f>VLOOKUP($N255,'2 CODIFICATION'!$G$5:$L$71,4,FALSE)</f>
        <v>chges</v>
      </c>
      <c r="S255" s="53">
        <f>VLOOKUP($N255,'2 CODIFICATION'!$G$5:$L$71,5,FALSE)</f>
        <v>60</v>
      </c>
      <c r="T255" s="11" t="str">
        <f>VLOOKUP($N255,'2 CODIFICATION'!$G$5:$L$71,6,FALSE)</f>
        <v>Services extérieurs</v>
      </c>
    </row>
    <row r="256" spans="1:20" s="78" customFormat="1" ht="15" hidden="1" customHeight="1">
      <c r="A256" s="78" t="s">
        <v>197</v>
      </c>
      <c r="B256" s="78" t="s">
        <v>79</v>
      </c>
      <c r="C256" s="79"/>
      <c r="D256" s="80">
        <v>44926</v>
      </c>
      <c r="E256" s="86" t="s">
        <v>431</v>
      </c>
      <c r="F256" s="148"/>
      <c r="G256" s="81"/>
      <c r="H256" s="82">
        <v>200</v>
      </c>
      <c r="I256" s="471">
        <f t="shared" si="22"/>
        <v>-10200.52</v>
      </c>
      <c r="J256" s="84" t="s">
        <v>425</v>
      </c>
      <c r="K256" s="20">
        <v>6230</v>
      </c>
      <c r="L256" s="74" t="str">
        <f>VLOOKUP($J256,'2 CODIFICATION'!A$5:B$21,2,"FAUX")</f>
        <v>MATERIELS DASSOUTE</v>
      </c>
      <c r="M256" s="74" t="str">
        <f>VLOOKUP($K256,'2 CODIFICATION'!D$8:E$64,2,"FAUX")</f>
        <v>communication</v>
      </c>
      <c r="N256" s="85">
        <f t="shared" si="23"/>
        <v>623000</v>
      </c>
      <c r="O256" s="14">
        <f>G256-H256</f>
        <v>-200</v>
      </c>
      <c r="P256" s="84">
        <f>YEAR(D256)</f>
        <v>2022</v>
      </c>
      <c r="Q256" s="11" t="str">
        <f>VLOOKUP($N256,'2 CODIFICATION'!$G$5:$L$71,3,FALSE)</f>
        <v>Publicité, publications, Création de site web</v>
      </c>
      <c r="R256" s="53" t="str">
        <f>VLOOKUP($N256,'2 CODIFICATION'!$G$5:$L$71,4,FALSE)</f>
        <v>chges</v>
      </c>
      <c r="S256" s="53">
        <f>VLOOKUP($N256,'2 CODIFICATION'!$G$5:$L$71,5,FALSE)</f>
        <v>62</v>
      </c>
      <c r="T256" s="11" t="str">
        <f>VLOOKUP($N256,'2 CODIFICATION'!$G$5:$L$71,6,FALSE)</f>
        <v>Autres services extérieurs</v>
      </c>
    </row>
    <row r="257" spans="1:20" s="78" customFormat="1" ht="15" hidden="1" customHeight="1">
      <c r="A257" s="78" t="s">
        <v>197</v>
      </c>
      <c r="B257" s="78" t="s">
        <v>79</v>
      </c>
      <c r="C257" s="79"/>
      <c r="D257" s="80">
        <v>44926</v>
      </c>
      <c r="E257" s="79" t="s">
        <v>193</v>
      </c>
      <c r="F257" s="147"/>
      <c r="G257" s="81"/>
      <c r="H257" s="82">
        <v>2000</v>
      </c>
      <c r="I257" s="471">
        <f>I238+G257-H257</f>
        <v>-12200.52</v>
      </c>
      <c r="J257" s="84" t="s">
        <v>198</v>
      </c>
      <c r="K257" s="20">
        <v>8640</v>
      </c>
      <c r="L257" s="74" t="str">
        <f>VLOOKUP($J257,'2 CODIFICATION'!A$5:B$21,2,"FAUX")</f>
        <v>HYGIENE MENSTRUELLE</v>
      </c>
      <c r="M257" s="74" t="str">
        <f>VLOOKUP($K257,'2 CODIFICATION'!D$8:E$64,2,"FAUX")</f>
        <v>Personnels bénévoles</v>
      </c>
      <c r="N257" s="85">
        <f t="shared" si="23"/>
        <v>864000</v>
      </c>
      <c r="O257" s="14">
        <f t="shared" si="20"/>
        <v>-2000</v>
      </c>
      <c r="P257" s="84">
        <f t="shared" si="21"/>
        <v>2022</v>
      </c>
      <c r="Q257" s="11" t="str">
        <f>VLOOKUP($N257,'2 CODIFICATION'!$G$5:$L$71,3,FALSE)</f>
        <v>Personnels bénévoles</v>
      </c>
      <c r="R257" s="53" t="str">
        <f>VLOOKUP($N257,'2 CODIFICATION'!$G$5:$L$71,4,FALSE)</f>
        <v>chges</v>
      </c>
      <c r="S257" s="53">
        <f>VLOOKUP($N257,'2 CODIFICATION'!$G$5:$L$71,5,FALSE)</f>
        <v>86</v>
      </c>
      <c r="T257" s="11" t="str">
        <f>VLOOKUP($N257,'2 CODIFICATION'!$G$5:$L$71,6,FALSE)</f>
        <v>Contributions volontaires</v>
      </c>
    </row>
    <row r="258" spans="1:20" s="78" customFormat="1" ht="15" hidden="1" customHeight="1">
      <c r="A258" s="78" t="s">
        <v>197</v>
      </c>
      <c r="B258" s="78" t="s">
        <v>79</v>
      </c>
      <c r="C258" s="79"/>
      <c r="D258" s="80">
        <v>44926</v>
      </c>
      <c r="E258" s="79" t="s">
        <v>195</v>
      </c>
      <c r="F258" s="147"/>
      <c r="G258" s="81"/>
      <c r="H258" s="82">
        <v>8440</v>
      </c>
      <c r="I258" s="471">
        <f t="shared" si="22"/>
        <v>-20640.52</v>
      </c>
      <c r="J258" s="74" t="s">
        <v>273</v>
      </c>
      <c r="K258" s="20">
        <v>8640</v>
      </c>
      <c r="L258" s="74" t="str">
        <f>VLOOKUP($J258,'2 CODIFICATION'!A$5:B$21,2,"FAUX")</f>
        <v>ADMINIST ET FONCT</v>
      </c>
      <c r="M258" s="74" t="str">
        <f>VLOOKUP($K258,'2 CODIFICATION'!D$8:E$64,2,"FAUX")</f>
        <v>Personnels bénévoles</v>
      </c>
      <c r="N258" s="85">
        <f t="shared" si="23"/>
        <v>864000</v>
      </c>
      <c r="O258" s="14">
        <f t="shared" si="20"/>
        <v>-8440</v>
      </c>
      <c r="P258" s="84">
        <f t="shared" si="21"/>
        <v>2022</v>
      </c>
      <c r="Q258" s="11" t="str">
        <f>VLOOKUP($N258,'2 CODIFICATION'!$G$5:$L$71,3,FALSE)</f>
        <v>Personnels bénévoles</v>
      </c>
      <c r="R258" s="53" t="str">
        <f>VLOOKUP($N258,'2 CODIFICATION'!$G$5:$L$71,4,FALSE)</f>
        <v>chges</v>
      </c>
      <c r="S258" s="53">
        <f>VLOOKUP($N258,'2 CODIFICATION'!$G$5:$L$71,5,FALSE)</f>
        <v>86</v>
      </c>
      <c r="T258" s="11" t="str">
        <f>VLOOKUP($N258,'2 CODIFICATION'!$G$5:$L$71,6,FALSE)</f>
        <v>Contributions volontaires</v>
      </c>
    </row>
    <row r="259" spans="1:20" s="78" customFormat="1" ht="15" hidden="1" customHeight="1">
      <c r="A259" s="78" t="s">
        <v>197</v>
      </c>
      <c r="B259" s="78" t="s">
        <v>79</v>
      </c>
      <c r="C259" s="79"/>
      <c r="D259" s="80">
        <v>44926</v>
      </c>
      <c r="E259" s="79" t="s">
        <v>180</v>
      </c>
      <c r="F259" s="147"/>
      <c r="G259" s="81">
        <f>1000</f>
        <v>1000</v>
      </c>
      <c r="H259" s="82"/>
      <c r="I259" s="471">
        <f t="shared" si="22"/>
        <v>-19640.52</v>
      </c>
      <c r="J259" s="74" t="s">
        <v>273</v>
      </c>
      <c r="K259" s="20">
        <v>7080</v>
      </c>
      <c r="L259" s="74" t="str">
        <f>VLOOKUP($J259,'2 CODIFICATION'!A$5:B$21,2,"FAUX")</f>
        <v>ADMINIST ET FONCT</v>
      </c>
      <c r="M259" s="74" t="str">
        <f>VLOOKUP($K259,'2 CODIFICATION'!D$8:E$64,2,"FAUX")</f>
        <v>produits activités annexes</v>
      </c>
      <c r="N259" s="85">
        <f>+K259*100</f>
        <v>708000</v>
      </c>
      <c r="O259" s="14">
        <f>G259-H259</f>
        <v>1000</v>
      </c>
      <c r="P259" s="84">
        <f>YEAR(D259)</f>
        <v>2022</v>
      </c>
      <c r="Q259" s="11" t="str">
        <f>VLOOKUP($N259,'2 CODIFICATION'!$G$5:$L$71,3,FALSE)</f>
        <v>Produits des activités annexes</v>
      </c>
      <c r="R259" s="53" t="str">
        <f>VLOOKUP($N259,'2 CODIFICATION'!$G$5:$L$71,4,FALSE)</f>
        <v>pdts</v>
      </c>
      <c r="S259" s="53">
        <f>VLOOKUP($N259,'2 CODIFICATION'!$G$5:$L$71,5,FALSE)</f>
        <v>70</v>
      </c>
      <c r="T259" s="11" t="str">
        <f>VLOOKUP($N259,'2 CODIFICATION'!$G$5:$L$71,6,FALSE)</f>
        <v>Ventes et prestations de services</v>
      </c>
    </row>
    <row r="260" spans="1:20" s="78" customFormat="1" ht="15" hidden="1" customHeight="1">
      <c r="A260" s="78" t="s">
        <v>197</v>
      </c>
      <c r="B260" s="78" t="s">
        <v>79</v>
      </c>
      <c r="C260" s="79"/>
      <c r="D260" s="80">
        <v>44926</v>
      </c>
      <c r="E260" s="79" t="s">
        <v>183</v>
      </c>
      <c r="F260" s="147"/>
      <c r="G260" s="81">
        <v>4000</v>
      </c>
      <c r="H260" s="82"/>
      <c r="I260" s="471" t="e">
        <f>+#REF!+G260-H260</f>
        <v>#REF!</v>
      </c>
      <c r="J260" s="84" t="s">
        <v>198</v>
      </c>
      <c r="K260" s="20">
        <v>7420</v>
      </c>
      <c r="L260" s="74" t="str">
        <f>VLOOKUP($J260,'2 CODIFICATION'!A$5:B$21,2,"FAUX")</f>
        <v>HYGIENE MENSTRUELLE</v>
      </c>
      <c r="M260" s="74" t="str">
        <f>VLOOKUP($K260,'2 CODIFICATION'!D$8:E$64,2,"FAUX")</f>
        <v>Subvention Agence Micro Projet</v>
      </c>
      <c r="N260" s="85">
        <f t="shared" si="23"/>
        <v>742000</v>
      </c>
      <c r="O260" s="14">
        <f t="shared" si="20"/>
        <v>4000</v>
      </c>
      <c r="P260" s="84">
        <f t="shared" si="21"/>
        <v>2022</v>
      </c>
      <c r="Q260" s="11" t="str">
        <f>VLOOKUP($N260,'2 CODIFICATION'!$G$5:$L$71,3,FALSE)</f>
        <v>AMP-GRATITUDE</v>
      </c>
      <c r="R260" s="53" t="str">
        <f>VLOOKUP($N260,'2 CODIFICATION'!$G$5:$L$71,4,FALSE)</f>
        <v>pdts</v>
      </c>
      <c r="S260" s="53">
        <f>VLOOKUP($N260,'2 CODIFICATION'!$G$5:$L$71,5,FALSE)</f>
        <v>74</v>
      </c>
      <c r="T260" s="11" t="str">
        <f>VLOOKUP($N260,'2 CODIFICATION'!$G$5:$L$71,6,FALSE)</f>
        <v>Subventions d'exploitation</v>
      </c>
    </row>
    <row r="261" spans="1:20" s="78" customFormat="1" ht="15" hidden="1" customHeight="1">
      <c r="A261" s="78" t="s">
        <v>197</v>
      </c>
      <c r="B261" s="78" t="s">
        <v>79</v>
      </c>
      <c r="C261" s="79"/>
      <c r="D261" s="80">
        <v>44926</v>
      </c>
      <c r="E261" s="79" t="s">
        <v>184</v>
      </c>
      <c r="F261" s="147"/>
      <c r="G261" s="81">
        <f>10000-5000</f>
        <v>5000</v>
      </c>
      <c r="H261" s="82"/>
      <c r="I261" s="471" t="e">
        <f t="shared" si="22"/>
        <v>#REF!</v>
      </c>
      <c r="J261" s="84" t="s">
        <v>198</v>
      </c>
      <c r="K261" s="20">
        <v>7410</v>
      </c>
      <c r="L261" s="74" t="str">
        <f>VLOOKUP($J261,'2 CODIFICATION'!A$5:B$21,2,"FAUX")</f>
        <v>HYGIENE MENSTRUELLE</v>
      </c>
      <c r="M261" s="74" t="str">
        <f>VLOOKUP($K261,'2 CODIFICATION'!D$8:E$64,2,"FAUX")</f>
        <v>Subventions Région Nouvelle Aquitaine</v>
      </c>
      <c r="N261" s="85">
        <f t="shared" si="23"/>
        <v>741000</v>
      </c>
      <c r="O261" s="14">
        <f t="shared" si="20"/>
        <v>5000</v>
      </c>
      <c r="P261" s="84">
        <f t="shared" si="21"/>
        <v>2022</v>
      </c>
      <c r="Q261" s="11" t="str">
        <f>VLOOKUP($N261,'2 CODIFICATION'!$G$5:$L$71,3,FALSE)</f>
        <v>Région Nouvelle-Aquitaine</v>
      </c>
      <c r="R261" s="53" t="str">
        <f>VLOOKUP($N261,'2 CODIFICATION'!$G$5:$L$71,4,FALSE)</f>
        <v>pdts</v>
      </c>
      <c r="S261" s="53">
        <f>VLOOKUP($N261,'2 CODIFICATION'!$G$5:$L$71,5,FALSE)</f>
        <v>74</v>
      </c>
      <c r="T261" s="11" t="str">
        <f>VLOOKUP($N261,'2 CODIFICATION'!$G$5:$L$71,6,FALSE)</f>
        <v>Subventions d'exploitation</v>
      </c>
    </row>
    <row r="262" spans="1:20" s="78" customFormat="1" ht="15" hidden="1" customHeight="1">
      <c r="A262" s="78" t="s">
        <v>197</v>
      </c>
      <c r="B262" s="78" t="s">
        <v>79</v>
      </c>
      <c r="C262" s="79"/>
      <c r="D262" s="80">
        <v>44926</v>
      </c>
      <c r="E262" s="87" t="s">
        <v>186</v>
      </c>
      <c r="F262" s="149"/>
      <c r="G262" s="81">
        <v>840</v>
      </c>
      <c r="H262" s="82"/>
      <c r="I262" s="471" t="e">
        <f t="shared" si="22"/>
        <v>#REF!</v>
      </c>
      <c r="J262" s="74" t="s">
        <v>273</v>
      </c>
      <c r="K262" s="20">
        <v>7771</v>
      </c>
      <c r="L262" s="74" t="str">
        <f>VLOOKUP($J262,'2 CODIFICATION'!A$5:B$21,2,"FAUX")</f>
        <v>ADMINIST ET FONCT</v>
      </c>
      <c r="M262" s="74" t="str">
        <f>VLOOKUP($K262,'2 CODIFICATION'!D$8:E$64,2,"FAUX")</f>
        <v>Dons et participations à l"association</v>
      </c>
      <c r="N262" s="85">
        <f t="shared" si="23"/>
        <v>777100</v>
      </c>
      <c r="O262" s="14">
        <f t="shared" si="20"/>
        <v>840</v>
      </c>
      <c r="P262" s="84">
        <f t="shared" si="21"/>
        <v>2022</v>
      </c>
      <c r="Q262" s="11" t="str">
        <f>VLOOKUP($N262,'2 CODIFICATION'!$G$5:$L$71,3,FALSE)</f>
        <v>Dons et autres mises à dispositions gratuites</v>
      </c>
      <c r="R262" s="53" t="str">
        <f>VLOOKUP($N262,'2 CODIFICATION'!$G$5:$L$71,4,FALSE)</f>
        <v>pdts</v>
      </c>
      <c r="S262" s="53">
        <f>VLOOKUP($N262,'2 CODIFICATION'!$G$5:$L$71,5,FALSE)</f>
        <v>77</v>
      </c>
      <c r="T262" s="11" t="str">
        <f>VLOOKUP($N262,'2 CODIFICATION'!$G$5:$L$71,6,FALSE)</f>
        <v>Produits exceptionnels</v>
      </c>
    </row>
    <row r="263" spans="1:20" s="78" customFormat="1" ht="15" hidden="1" customHeight="1">
      <c r="A263" s="78" t="s">
        <v>197</v>
      </c>
      <c r="B263" s="78" t="s">
        <v>79</v>
      </c>
      <c r="C263" s="79"/>
      <c r="D263" s="80">
        <v>44926</v>
      </c>
      <c r="E263" s="87" t="s">
        <v>192</v>
      </c>
      <c r="F263" s="149"/>
      <c r="G263" s="81">
        <v>276.23</v>
      </c>
      <c r="H263" s="82"/>
      <c r="I263" s="471" t="e">
        <f t="shared" si="22"/>
        <v>#REF!</v>
      </c>
      <c r="J263" s="74" t="s">
        <v>198</v>
      </c>
      <c r="K263" s="20">
        <v>7581</v>
      </c>
      <c r="L263" s="74" t="str">
        <f>VLOOKUP($J263,'2 CODIFICATION'!A$5:B$21,2,"FAUX")</f>
        <v>HYGIENE MENSTRUELLE</v>
      </c>
      <c r="M263" s="74" t="str">
        <f>VLOOKUP($K263,'2 CODIFICATION'!D$8:E$64,2,"FAUX")</f>
        <v>Adhésions association</v>
      </c>
      <c r="N263" s="85">
        <f t="shared" si="23"/>
        <v>758100</v>
      </c>
      <c r="O263" s="14">
        <f t="shared" si="20"/>
        <v>276.23</v>
      </c>
      <c r="P263" s="84">
        <f t="shared" si="21"/>
        <v>2022</v>
      </c>
      <c r="Q263" s="11" t="str">
        <f>VLOOKUP($N263,'2 CODIFICATION'!$G$5:$L$71,3,FALSE)</f>
        <v>Cotisations individuelles et associatives</v>
      </c>
      <c r="R263" s="53" t="str">
        <f>VLOOKUP($N263,'2 CODIFICATION'!$G$5:$L$71,4,FALSE)</f>
        <v>pdts</v>
      </c>
      <c r="S263" s="53">
        <f>VLOOKUP($N263,'2 CODIFICATION'!$G$5:$L$71,5,FALSE)</f>
        <v>75</v>
      </c>
      <c r="T263" s="11" t="str">
        <f>VLOOKUP($N263,'2 CODIFICATION'!$G$5:$L$71,6,FALSE)</f>
        <v>Autres produits de gestion courante</v>
      </c>
    </row>
    <row r="264" spans="1:20" s="78" customFormat="1" ht="15" hidden="1" customHeight="1">
      <c r="A264" s="78" t="s">
        <v>197</v>
      </c>
      <c r="B264" s="78" t="s">
        <v>79</v>
      </c>
      <c r="C264" s="79"/>
      <c r="D264" s="80">
        <v>44926</v>
      </c>
      <c r="E264" s="87" t="s">
        <v>194</v>
      </c>
      <c r="F264" s="149"/>
      <c r="G264" s="81">
        <v>2000</v>
      </c>
      <c r="H264" s="82"/>
      <c r="I264" s="471" t="e">
        <f t="shared" si="22"/>
        <v>#REF!</v>
      </c>
      <c r="J264" s="84" t="s">
        <v>198</v>
      </c>
      <c r="K264" s="20">
        <v>8700</v>
      </c>
      <c r="L264" s="74" t="str">
        <f>VLOOKUP($J264,'2 CODIFICATION'!A$5:B$21,2,"FAUX")</f>
        <v>HYGIENE MENSTRUELLE</v>
      </c>
      <c r="M264" s="74" t="str">
        <f>VLOOKUP($K264,'2 CODIFICATION'!D$8:E$64,2,"FAUX")</f>
        <v>Bénévolat</v>
      </c>
      <c r="N264" s="161">
        <f t="shared" si="23"/>
        <v>870000</v>
      </c>
      <c r="O264" s="14">
        <f t="shared" si="20"/>
        <v>2000</v>
      </c>
      <c r="P264" s="84">
        <f t="shared" si="21"/>
        <v>2022</v>
      </c>
      <c r="Q264" s="11" t="str">
        <f>VLOOKUP($N264,'2 CODIFICATION'!$G$5:$L$71,3,FALSE)</f>
        <v>Bénévolat</v>
      </c>
      <c r="R264" s="53" t="str">
        <f>VLOOKUP($N264,'2 CODIFICATION'!$G$5:$L$71,4,FALSE)</f>
        <v>pdts</v>
      </c>
      <c r="S264" s="53">
        <f>VLOOKUP($N264,'2 CODIFICATION'!$G$5:$L$71,5,FALSE)</f>
        <v>87</v>
      </c>
      <c r="T264" s="11" t="str">
        <f>VLOOKUP($N264,'2 CODIFICATION'!$G$5:$L$71,6,FALSE)</f>
        <v>Contributions volontaires</v>
      </c>
    </row>
    <row r="265" spans="1:20" s="78" customFormat="1" ht="15" hidden="1" customHeight="1">
      <c r="A265" s="78" t="s">
        <v>197</v>
      </c>
      <c r="B265" s="78" t="s">
        <v>79</v>
      </c>
      <c r="C265" s="79"/>
      <c r="D265" s="80">
        <v>44926</v>
      </c>
      <c r="E265" s="87" t="s">
        <v>196</v>
      </c>
      <c r="F265" s="149"/>
      <c r="G265" s="81">
        <v>8440</v>
      </c>
      <c r="H265" s="82"/>
      <c r="I265" s="471" t="e">
        <f t="shared" si="22"/>
        <v>#REF!</v>
      </c>
      <c r="J265" s="84" t="s">
        <v>273</v>
      </c>
      <c r="K265" s="20">
        <v>8700</v>
      </c>
      <c r="L265" s="74" t="str">
        <f>VLOOKUP($J265,'2 CODIFICATION'!A$5:B$21,2,"FAUX")</f>
        <v>ADMINIST ET FONCT</v>
      </c>
      <c r="M265" s="74" t="str">
        <f>VLOOKUP($K265,'2 CODIFICATION'!D$8:E$64,2,"FAUX")</f>
        <v>Bénévolat</v>
      </c>
      <c r="N265" s="161">
        <f t="shared" si="23"/>
        <v>870000</v>
      </c>
      <c r="O265" s="14">
        <f t="shared" si="20"/>
        <v>8440</v>
      </c>
      <c r="P265" s="84">
        <f t="shared" si="21"/>
        <v>2022</v>
      </c>
      <c r="Q265" s="11" t="str">
        <f>VLOOKUP($N265,'2 CODIFICATION'!$G$5:$L$71,3,FALSE)</f>
        <v>Bénévolat</v>
      </c>
      <c r="R265" s="53" t="str">
        <f>VLOOKUP($N265,'2 CODIFICATION'!$G$5:$L$71,4,FALSE)</f>
        <v>pdts</v>
      </c>
      <c r="S265" s="53">
        <f>VLOOKUP($N265,'2 CODIFICATION'!$G$5:$L$71,5,FALSE)</f>
        <v>87</v>
      </c>
      <c r="T265" s="11" t="str">
        <f>VLOOKUP($N265,'2 CODIFICATION'!$G$5:$L$71,6,FALSE)</f>
        <v>Contributions volontaires</v>
      </c>
    </row>
    <row r="266" spans="1:20" s="275" customFormat="1" ht="14.5" hidden="1" customHeight="1">
      <c r="A266" s="275" t="s">
        <v>170</v>
      </c>
      <c r="B266" s="275" t="s">
        <v>79</v>
      </c>
      <c r="C266" s="276">
        <f>1+C264</f>
        <v>1</v>
      </c>
      <c r="D266" s="277">
        <v>44562</v>
      </c>
      <c r="E266" s="276" t="s">
        <v>411</v>
      </c>
      <c r="F266" s="276" t="s">
        <v>252</v>
      </c>
      <c r="G266" s="278">
        <v>124.55</v>
      </c>
      <c r="H266" s="82"/>
      <c r="I266" s="472"/>
      <c r="J266" s="163" t="s">
        <v>273</v>
      </c>
      <c r="K266" s="279">
        <v>4860</v>
      </c>
      <c r="L266" s="74" t="str">
        <f>VLOOKUP($J266,'2 CODIFICATION'!A$5:B$21,2,"FAUX")</f>
        <v>ADMINIST ET FONCT</v>
      </c>
      <c r="M266" s="74" t="str">
        <f>VLOOKUP($K266,'2 CODIFICATION'!D$8:E$61,2,"FAUX")</f>
        <v>Charges constatées d'avance</v>
      </c>
      <c r="N266" s="45">
        <f>+K266*100</f>
        <v>486000</v>
      </c>
      <c r="O266" s="280">
        <f>G266-H266</f>
        <v>124.55</v>
      </c>
      <c r="P266" s="84">
        <f>YEAR(D266)</f>
        <v>2022</v>
      </c>
      <c r="Q266" s="281" t="str">
        <f>VLOOKUP($N266,'2 CODIFICATION'!$G$5:$L$69,3,FALSE)</f>
        <v>Charges constatées d'avance</v>
      </c>
      <c r="R266" s="282" t="str">
        <f>VLOOKUP($N266,'2 CODIFICATION'!$G$5:$L$69,4,FALSE)</f>
        <v>bilan</v>
      </c>
      <c r="S266" s="282">
        <f>VLOOKUP($N266,'2 CODIFICATION'!$G$5:$L$69,5,FALSE)</f>
        <v>48</v>
      </c>
      <c r="T266" s="281" t="str">
        <f>VLOOKUP($N266,'2 CODIFICATION'!$G$5:$L$69,6,FALSE)</f>
        <v>CCA</v>
      </c>
    </row>
    <row r="267" spans="1:20" s="275" customFormat="1" ht="14.5" hidden="1" customHeight="1" thickBot="1">
      <c r="A267" s="275" t="s">
        <v>170</v>
      </c>
      <c r="B267" s="275" t="s">
        <v>79</v>
      </c>
      <c r="C267" s="276">
        <f>1+C265</f>
        <v>1</v>
      </c>
      <c r="D267" s="277">
        <v>44562</v>
      </c>
      <c r="E267" s="276" t="s">
        <v>411</v>
      </c>
      <c r="F267" s="276" t="s">
        <v>252</v>
      </c>
      <c r="G267" s="278"/>
      <c r="H267" s="82">
        <v>124.55</v>
      </c>
      <c r="I267" s="472"/>
      <c r="J267" s="163" t="s">
        <v>273</v>
      </c>
      <c r="K267" s="279">
        <v>6160</v>
      </c>
      <c r="L267" s="74" t="str">
        <f>VLOOKUP($J267,'2 CODIFICATION'!A$5:B$21,2,"FAUX")</f>
        <v>ADMINIST ET FONCT</v>
      </c>
      <c r="M267" s="74" t="str">
        <f>VLOOKUP($K267,'2 CODIFICATION'!D$8:E$61,2,"FAUX")</f>
        <v>Assurance RC</v>
      </c>
      <c r="N267" s="45">
        <f>+K267*100</f>
        <v>616000</v>
      </c>
      <c r="O267" s="280">
        <f t="shared" si="20"/>
        <v>-124.55</v>
      </c>
      <c r="P267" s="84">
        <f t="shared" si="21"/>
        <v>2022</v>
      </c>
      <c r="Q267" s="281" t="str">
        <f>VLOOKUP($N267,'2 CODIFICATION'!$G$5:$L$69,3,FALSE)</f>
        <v>Primes d'assurance</v>
      </c>
      <c r="R267" s="282" t="str">
        <f>VLOOKUP($N267,'2 CODIFICATION'!$G$5:$L$69,4,FALSE)</f>
        <v>chges</v>
      </c>
      <c r="S267" s="282">
        <f>VLOOKUP($N267,'2 CODIFICATION'!$G$5:$L$69,5,FALSE)</f>
        <v>61</v>
      </c>
      <c r="T267" s="281" t="str">
        <f>VLOOKUP($N267,'2 CODIFICATION'!$G$5:$L$69,6,FALSE)</f>
        <v>Services extérieurs</v>
      </c>
    </row>
    <row r="268" spans="1:20" ht="19.5" hidden="1" customHeight="1" thickBot="1">
      <c r="A268" s="78" t="s">
        <v>170</v>
      </c>
      <c r="B268" s="364" t="s">
        <v>79</v>
      </c>
      <c r="C268" s="365">
        <v>1</v>
      </c>
      <c r="D268" s="366">
        <v>44562</v>
      </c>
      <c r="E268" s="365" t="s">
        <v>162</v>
      </c>
      <c r="F268" s="367"/>
      <c r="G268" s="125">
        <f>1959.48-G270-G269</f>
        <v>1060.7599999999998</v>
      </c>
      <c r="H268" s="368"/>
      <c r="I268" s="125">
        <f>G268</f>
        <v>1060.7599999999998</v>
      </c>
      <c r="J268" s="163" t="s">
        <v>273</v>
      </c>
      <c r="K268" s="158">
        <v>5120</v>
      </c>
      <c r="L268" s="74" t="str">
        <f>VLOOKUP($J268,'2 CODIFICATION'!A$5:B$21,2,"FAUX")</f>
        <v>ADMINIST ET FONCT</v>
      </c>
      <c r="M268" s="74" t="str">
        <f>VLOOKUP($K268,'2 CODIFICATION'!D$8:E$61,2,"FAUX")</f>
        <v>Banque</v>
      </c>
      <c r="N268" s="45">
        <f>+K268*100</f>
        <v>512000</v>
      </c>
      <c r="O268" s="280">
        <f t="shared" si="20"/>
        <v>1060.7599999999998</v>
      </c>
      <c r="P268" s="84">
        <f t="shared" si="21"/>
        <v>2022</v>
      </c>
      <c r="Q268" s="281" t="str">
        <f>VLOOKUP($N268,'2 CODIFICATION'!$G$5:$L$69,3,FALSE)</f>
        <v>Banque</v>
      </c>
      <c r="R268" s="282" t="str">
        <f>VLOOKUP($N268,'2 CODIFICATION'!$G$5:$L$69,4,FALSE)</f>
        <v>bilan</v>
      </c>
      <c r="S268" s="282">
        <f>VLOOKUP($N268,'2 CODIFICATION'!$G$5:$L$69,5,FALSE)</f>
        <v>50</v>
      </c>
      <c r="T268" s="281" t="str">
        <f>VLOOKUP($N268,'2 CODIFICATION'!$G$5:$L$69,6,FALSE)</f>
        <v>Trésorerie</v>
      </c>
    </row>
    <row r="269" spans="1:20" ht="15" hidden="1" customHeight="1" thickBot="1">
      <c r="A269" s="78" t="s">
        <v>170</v>
      </c>
      <c r="B269" s="364" t="s">
        <v>79</v>
      </c>
      <c r="C269" s="365">
        <v>1</v>
      </c>
      <c r="D269" s="366">
        <v>44562</v>
      </c>
      <c r="E269" s="365" t="s">
        <v>162</v>
      </c>
      <c r="F269" s="367"/>
      <c r="G269" s="125">
        <v>158.46000000000032</v>
      </c>
      <c r="H269" s="368"/>
      <c r="I269" s="125">
        <f>G269+I268-H269</f>
        <v>1219.22</v>
      </c>
      <c r="J269" s="163" t="s">
        <v>198</v>
      </c>
      <c r="K269" s="158">
        <v>5120</v>
      </c>
      <c r="L269" s="74" t="str">
        <f>VLOOKUP($J269,'2 CODIFICATION'!A$5:B$21,2,"FAUX")</f>
        <v>HYGIENE MENSTRUELLE</v>
      </c>
      <c r="M269" s="74" t="str">
        <f>VLOOKUP($K269,'2 CODIFICATION'!D$8:E$61,2,"FAUX")</f>
        <v>Banque</v>
      </c>
      <c r="N269" s="45">
        <f>+K269*100</f>
        <v>512000</v>
      </c>
      <c r="O269" s="280">
        <f t="shared" si="20"/>
        <v>158.46000000000032</v>
      </c>
      <c r="P269" s="84">
        <f t="shared" si="21"/>
        <v>2022</v>
      </c>
      <c r="Q269" s="281" t="str">
        <f>VLOOKUP($N269,'2 CODIFICATION'!$G$5:$L$69,3,FALSE)</f>
        <v>Banque</v>
      </c>
      <c r="R269" s="282" t="str">
        <f>VLOOKUP($N269,'2 CODIFICATION'!$G$5:$L$69,4,FALSE)</f>
        <v>bilan</v>
      </c>
      <c r="S269" s="282">
        <f>VLOOKUP($N269,'2 CODIFICATION'!$G$5:$L$69,5,FALSE)</f>
        <v>50</v>
      </c>
      <c r="T269" s="281" t="str">
        <f>VLOOKUP($N269,'2 CODIFICATION'!$G$5:$L$69,6,FALSE)</f>
        <v>Trésorerie</v>
      </c>
    </row>
    <row r="270" spans="1:20" ht="15" hidden="1" customHeight="1" thickBot="1">
      <c r="A270" s="78" t="s">
        <v>170</v>
      </c>
      <c r="B270" s="364" t="s">
        <v>79</v>
      </c>
      <c r="C270" s="365">
        <v>1</v>
      </c>
      <c r="D270" s="366">
        <v>44562</v>
      </c>
      <c r="E270" s="365" t="s">
        <v>162</v>
      </c>
      <c r="F270" s="367"/>
      <c r="G270" s="125">
        <v>740.26</v>
      </c>
      <c r="H270" s="368"/>
      <c r="I270" s="125">
        <f t="shared" ref="I270:I333" si="24">G270+I269-H270</f>
        <v>1959.48</v>
      </c>
      <c r="J270" s="386" t="s">
        <v>306</v>
      </c>
      <c r="K270" s="158">
        <v>5120</v>
      </c>
      <c r="L270" s="74" t="str">
        <f>VLOOKUP($J270,'2 CODIFICATION'!A$5:B$21,2,"FAUX")</f>
        <v>DASSOUTE TEUILLAC CANTINE</v>
      </c>
      <c r="M270" s="74" t="str">
        <f>VLOOKUP($K270,'2 CODIFICATION'!D$8:E$61,2,"FAUX")</f>
        <v>Banque</v>
      </c>
      <c r="N270" s="45">
        <f t="shared" ref="N270:N332" si="25">+K270*100</f>
        <v>512000</v>
      </c>
      <c r="O270" s="280">
        <f t="shared" ref="O270:O332" si="26">G270-H270</f>
        <v>740.26</v>
      </c>
      <c r="P270" s="84">
        <f t="shared" ref="P270:P332" si="27">YEAR(D270)</f>
        <v>2022</v>
      </c>
      <c r="Q270" s="281" t="str">
        <f>VLOOKUP($N270,'2 CODIFICATION'!$G$5:$L$69,3,FALSE)</f>
        <v>Banque</v>
      </c>
      <c r="R270" s="282" t="str">
        <f>VLOOKUP($N270,'2 CODIFICATION'!$G$5:$L$69,4,FALSE)</f>
        <v>bilan</v>
      </c>
      <c r="S270" s="282">
        <f>VLOOKUP($N270,'2 CODIFICATION'!$G$5:$L$69,5,FALSE)</f>
        <v>50</v>
      </c>
      <c r="T270" s="281" t="str">
        <f>VLOOKUP($N270,'2 CODIFICATION'!$G$5:$L$69,6,FALSE)</f>
        <v>Trésorerie</v>
      </c>
    </row>
    <row r="271" spans="1:20" ht="21.5" hidden="1" customHeight="1">
      <c r="A271" s="78" t="s">
        <v>170</v>
      </c>
      <c r="B271" s="364" t="s">
        <v>79</v>
      </c>
      <c r="C271" s="365">
        <f>1+C270</f>
        <v>2</v>
      </c>
      <c r="D271" s="369">
        <v>44589</v>
      </c>
      <c r="E271" s="370" t="s">
        <v>436</v>
      </c>
      <c r="F271" s="371" t="s">
        <v>437</v>
      </c>
      <c r="G271" s="371"/>
      <c r="H271" s="372">
        <v>69.599999999999994</v>
      </c>
      <c r="I271" s="473">
        <f>G271+I270-H271</f>
        <v>1889.88</v>
      </c>
      <c r="J271" s="386" t="s">
        <v>306</v>
      </c>
      <c r="K271" s="373">
        <v>6261</v>
      </c>
      <c r="L271" s="74" t="str">
        <f>VLOOKUP($J271,'2 CODIFICATION'!A$5:B$21,2,"FAUX")</f>
        <v>DASSOUTE TEUILLAC CANTINE</v>
      </c>
      <c r="M271" s="74" t="str">
        <f>VLOOKUP($K271,'2 CODIFICATION'!D$8:E$61,2,"FAUX")</f>
        <v>Frais d'envoi</v>
      </c>
      <c r="N271" s="45">
        <f t="shared" si="25"/>
        <v>626100</v>
      </c>
      <c r="O271" s="280">
        <f t="shared" si="26"/>
        <v>-69.599999999999994</v>
      </c>
      <c r="P271" s="84">
        <f t="shared" si="27"/>
        <v>2022</v>
      </c>
      <c r="Q271" s="281" t="str">
        <f>VLOOKUP($N271,'2 CODIFICATION'!$G$5:$L$69,3,FALSE)</f>
        <v>Frais postaux</v>
      </c>
      <c r="R271" s="282" t="str">
        <f>VLOOKUP($N271,'2 CODIFICATION'!$G$5:$L$69,4,FALSE)</f>
        <v>chges</v>
      </c>
      <c r="S271" s="282">
        <f>VLOOKUP($N271,'2 CODIFICATION'!$G$5:$L$69,5,FALSE)</f>
        <v>62</v>
      </c>
      <c r="T271" s="281" t="str">
        <f>VLOOKUP($N271,'2 CODIFICATION'!$G$5:$L$69,6,FALSE)</f>
        <v>Autres services extérieurs</v>
      </c>
    </row>
    <row r="272" spans="1:20" ht="21.5" hidden="1" customHeight="1">
      <c r="A272" s="78" t="s">
        <v>170</v>
      </c>
      <c r="B272" s="364" t="s">
        <v>79</v>
      </c>
      <c r="C272" s="365">
        <f t="shared" ref="C272:C277" si="28">1+C271</f>
        <v>3</v>
      </c>
      <c r="D272" s="369">
        <v>44589</v>
      </c>
      <c r="E272" s="370" t="s">
        <v>438</v>
      </c>
      <c r="F272" s="371" t="s">
        <v>27</v>
      </c>
      <c r="G272" s="371"/>
      <c r="H272" s="372">
        <v>62.9</v>
      </c>
      <c r="I272" s="473">
        <f t="shared" si="24"/>
        <v>1826.98</v>
      </c>
      <c r="J272" s="386" t="s">
        <v>306</v>
      </c>
      <c r="K272" s="373">
        <v>6240</v>
      </c>
      <c r="L272" s="74" t="str">
        <f>VLOOKUP($J272,'2 CODIFICATION'!A$5:B$21,2,"FAUX")</f>
        <v>DASSOUTE TEUILLAC CANTINE</v>
      </c>
      <c r="M272" s="74" t="str">
        <f>VLOOKUP($K272,'2 CODIFICATION'!D$8:E$61,2,"FAUX")</f>
        <v>Transports</v>
      </c>
      <c r="N272" s="45">
        <f t="shared" si="25"/>
        <v>624000</v>
      </c>
      <c r="O272" s="280">
        <f t="shared" si="26"/>
        <v>-62.9</v>
      </c>
      <c r="P272" s="84">
        <f t="shared" si="27"/>
        <v>2022</v>
      </c>
      <c r="Q272" s="281" t="str">
        <f>VLOOKUP($N272,'2 CODIFICATION'!$G$5:$L$69,3,FALSE)</f>
        <v>Transports</v>
      </c>
      <c r="R272" s="282" t="str">
        <f>VLOOKUP($N272,'2 CODIFICATION'!$G$5:$L$69,4,FALSE)</f>
        <v>chges</v>
      </c>
      <c r="S272" s="282">
        <f>VLOOKUP($N272,'2 CODIFICATION'!$G$5:$L$69,5,FALSE)</f>
        <v>62</v>
      </c>
      <c r="T272" s="281" t="str">
        <f>VLOOKUP($N272,'2 CODIFICATION'!$G$5:$L$69,6,FALSE)</f>
        <v>Charges de personnel</v>
      </c>
    </row>
    <row r="273" spans="1:20" ht="21.5" hidden="1" customHeight="1">
      <c r="A273" s="78" t="s">
        <v>170</v>
      </c>
      <c r="B273" s="364" t="s">
        <v>79</v>
      </c>
      <c r="C273" s="365">
        <f t="shared" si="28"/>
        <v>4</v>
      </c>
      <c r="D273" s="369">
        <v>44586</v>
      </c>
      <c r="E273" s="370" t="s">
        <v>439</v>
      </c>
      <c r="F273" s="371" t="s">
        <v>253</v>
      </c>
      <c r="G273" s="371"/>
      <c r="H273" s="372">
        <v>54.55</v>
      </c>
      <c r="I273" s="473">
        <f t="shared" si="24"/>
        <v>1772.43</v>
      </c>
      <c r="J273" s="163" t="s">
        <v>198</v>
      </c>
      <c r="K273" s="373">
        <v>6230</v>
      </c>
      <c r="L273" s="74" t="str">
        <f>VLOOKUP($J273,'2 CODIFICATION'!A$5:B$21,2,"FAUX")</f>
        <v>HYGIENE MENSTRUELLE</v>
      </c>
      <c r="M273" s="74" t="str">
        <f>VLOOKUP($K273,'2 CODIFICATION'!D$8:E$61,2,"FAUX")</f>
        <v>communication</v>
      </c>
      <c r="N273" s="45">
        <f t="shared" si="25"/>
        <v>623000</v>
      </c>
      <c r="O273" s="280">
        <f t="shared" si="26"/>
        <v>-54.55</v>
      </c>
      <c r="P273" s="84">
        <f t="shared" si="27"/>
        <v>2022</v>
      </c>
      <c r="Q273" s="281" t="str">
        <f>VLOOKUP($N273,'2 CODIFICATION'!$G$5:$L$69,3,FALSE)</f>
        <v>Publicité, publications, Création de site web</v>
      </c>
      <c r="R273" s="282" t="str">
        <f>VLOOKUP($N273,'2 CODIFICATION'!$G$5:$L$69,4,FALSE)</f>
        <v>chges</v>
      </c>
      <c r="S273" s="282">
        <f>VLOOKUP($N273,'2 CODIFICATION'!$G$5:$L$69,5,FALSE)</f>
        <v>62</v>
      </c>
      <c r="T273" s="281" t="str">
        <f>VLOOKUP($N273,'2 CODIFICATION'!$G$5:$L$69,6,FALSE)</f>
        <v>Autres services extérieurs</v>
      </c>
    </row>
    <row r="274" spans="1:20" ht="21.5" hidden="1" customHeight="1">
      <c r="A274" s="78" t="s">
        <v>170</v>
      </c>
      <c r="B274" s="364" t="s">
        <v>79</v>
      </c>
      <c r="C274" s="365">
        <f t="shared" si="28"/>
        <v>5</v>
      </c>
      <c r="D274" s="369">
        <v>44586</v>
      </c>
      <c r="E274" s="370" t="s">
        <v>440</v>
      </c>
      <c r="F274" s="371" t="s">
        <v>253</v>
      </c>
      <c r="G274" s="371"/>
      <c r="H274" s="372">
        <v>17.16</v>
      </c>
      <c r="I274" s="473">
        <f t="shared" si="24"/>
        <v>1755.27</v>
      </c>
      <c r="J274" s="163" t="s">
        <v>198</v>
      </c>
      <c r="K274" s="373">
        <v>6064</v>
      </c>
      <c r="L274" s="74" t="str">
        <f>VLOOKUP($J274,'2 CODIFICATION'!A$5:B$21,2,"FAUX")</f>
        <v>HYGIENE MENSTRUELLE</v>
      </c>
      <c r="M274" s="74" t="str">
        <f>VLOOKUP($K274,'2 CODIFICATION'!D$8:E$61,2,"FAUX")</f>
        <v>Frais de fonctionnement et fourniture</v>
      </c>
      <c r="N274" s="45">
        <f t="shared" si="25"/>
        <v>606400</v>
      </c>
      <c r="O274" s="280">
        <f t="shared" si="26"/>
        <v>-17.16</v>
      </c>
      <c r="P274" s="84">
        <f t="shared" si="27"/>
        <v>2022</v>
      </c>
      <c r="Q274" s="281" t="str">
        <f>VLOOKUP($N274,'2 CODIFICATION'!$G$5:$L$69,3,FALSE)</f>
        <v>Fournitures administratives</v>
      </c>
      <c r="R274" s="282" t="str">
        <f>VLOOKUP($N274,'2 CODIFICATION'!$G$5:$L$69,4,FALSE)</f>
        <v>chges</v>
      </c>
      <c r="S274" s="282">
        <f>VLOOKUP($N274,'2 CODIFICATION'!$G$5:$L$69,5,FALSE)</f>
        <v>60</v>
      </c>
      <c r="T274" s="281" t="str">
        <f>VLOOKUP($N274,'2 CODIFICATION'!$G$5:$L$69,6,FALSE)</f>
        <v>Achat</v>
      </c>
    </row>
    <row r="275" spans="1:20" ht="21.5" hidden="1" customHeight="1">
      <c r="A275" s="78" t="s">
        <v>170</v>
      </c>
      <c r="B275" s="374" t="s">
        <v>79</v>
      </c>
      <c r="C275" s="375">
        <f t="shared" si="28"/>
        <v>6</v>
      </c>
      <c r="D275" s="376">
        <v>44568</v>
      </c>
      <c r="E275" s="377" t="s">
        <v>441</v>
      </c>
      <c r="F275" s="378" t="s">
        <v>253</v>
      </c>
      <c r="G275" s="378"/>
      <c r="H275" s="379">
        <v>15</v>
      </c>
      <c r="I275" s="473">
        <f t="shared" si="24"/>
        <v>1740.27</v>
      </c>
      <c r="J275" s="380" t="s">
        <v>273</v>
      </c>
      <c r="K275" s="381">
        <v>5130</v>
      </c>
      <c r="L275" s="74" t="str">
        <f>VLOOKUP($J275,'2 CODIFICATION'!A$5:B$21,2,"FAUX")</f>
        <v>ADMINIST ET FONCT</v>
      </c>
      <c r="M275" s="74" t="str">
        <f>VLOOKUP($K275,'2 CODIFICATION'!D$8:E$61,2,"FAUX")</f>
        <v>Parts sociales</v>
      </c>
      <c r="N275" s="45">
        <f t="shared" si="25"/>
        <v>513000</v>
      </c>
      <c r="O275" s="280">
        <f t="shared" si="26"/>
        <v>-15</v>
      </c>
      <c r="P275" s="84">
        <f t="shared" si="27"/>
        <v>2022</v>
      </c>
      <c r="Q275" s="281" t="str">
        <f>VLOOKUP($N275,'2 CODIFICATION'!$G$5:$L$69,3,FALSE)</f>
        <v>Parts sociales</v>
      </c>
      <c r="R275" s="282" t="str">
        <f>VLOOKUP($N275,'2 CODIFICATION'!$G$5:$L$69,4,FALSE)</f>
        <v>bilan</v>
      </c>
      <c r="S275" s="282">
        <f>VLOOKUP($N275,'2 CODIFICATION'!$G$5:$L$69,5,FALSE)</f>
        <v>50</v>
      </c>
      <c r="T275" s="281" t="str">
        <f>VLOOKUP($N275,'2 CODIFICATION'!$G$5:$L$69,6,FALSE)</f>
        <v>Trésorerie</v>
      </c>
    </row>
    <row r="276" spans="1:20" ht="21.5" hidden="1" customHeight="1">
      <c r="A276" s="78" t="s">
        <v>170</v>
      </c>
      <c r="B276" s="364" t="s">
        <v>79</v>
      </c>
      <c r="C276" s="365">
        <f t="shared" si="28"/>
        <v>7</v>
      </c>
      <c r="D276" s="369">
        <v>44568</v>
      </c>
      <c r="E276" s="370" t="s">
        <v>442</v>
      </c>
      <c r="F276" s="371" t="s">
        <v>253</v>
      </c>
      <c r="G276" s="371"/>
      <c r="H276" s="372">
        <v>55.67</v>
      </c>
      <c r="I276" s="473">
        <f t="shared" si="24"/>
        <v>1684.6</v>
      </c>
      <c r="J276" s="163" t="s">
        <v>198</v>
      </c>
      <c r="K276" s="373">
        <v>6230</v>
      </c>
      <c r="L276" s="74" t="str">
        <f>VLOOKUP($J276,'2 CODIFICATION'!A$5:B$21,2,"FAUX")</f>
        <v>HYGIENE MENSTRUELLE</v>
      </c>
      <c r="M276" s="74" t="str">
        <f>VLOOKUP($K276,'2 CODIFICATION'!D$8:E$61,2,"FAUX")</f>
        <v>communication</v>
      </c>
      <c r="N276" s="45">
        <f t="shared" si="25"/>
        <v>623000</v>
      </c>
      <c r="O276" s="280">
        <f t="shared" si="26"/>
        <v>-55.67</v>
      </c>
      <c r="P276" s="84">
        <f t="shared" si="27"/>
        <v>2022</v>
      </c>
      <c r="Q276" s="281" t="str">
        <f>VLOOKUP($N276,'2 CODIFICATION'!$G$5:$L$69,3,FALSE)</f>
        <v>Publicité, publications, Création de site web</v>
      </c>
      <c r="R276" s="282" t="str">
        <f>VLOOKUP($N276,'2 CODIFICATION'!$G$5:$L$69,4,FALSE)</f>
        <v>chges</v>
      </c>
      <c r="S276" s="282">
        <f>VLOOKUP($N276,'2 CODIFICATION'!$G$5:$L$69,5,FALSE)</f>
        <v>62</v>
      </c>
      <c r="T276" s="281" t="str">
        <f>VLOOKUP($N276,'2 CODIFICATION'!$G$5:$L$69,6,FALSE)</f>
        <v>Autres services extérieurs</v>
      </c>
    </row>
    <row r="277" spans="1:20" ht="21.5" hidden="1" customHeight="1">
      <c r="A277" s="78" t="s">
        <v>170</v>
      </c>
      <c r="B277" s="374" t="s">
        <v>79</v>
      </c>
      <c r="C277" s="375">
        <f t="shared" si="28"/>
        <v>8</v>
      </c>
      <c r="D277" s="376">
        <v>44568</v>
      </c>
      <c r="E277" s="377" t="s">
        <v>443</v>
      </c>
      <c r="F277" s="378" t="s">
        <v>253</v>
      </c>
      <c r="G277" s="379">
        <v>50</v>
      </c>
      <c r="H277" s="382"/>
      <c r="I277" s="473">
        <f t="shared" si="24"/>
        <v>1734.6</v>
      </c>
      <c r="J277" s="380" t="s">
        <v>273</v>
      </c>
      <c r="K277" s="381">
        <v>7581</v>
      </c>
      <c r="L277" s="74" t="str">
        <f>VLOOKUP($J277,'2 CODIFICATION'!A$5:B$21,2,"FAUX")</f>
        <v>ADMINIST ET FONCT</v>
      </c>
      <c r="M277" s="74" t="str">
        <f>VLOOKUP($K277,'2 CODIFICATION'!D$8:E$61,2,"FAUX")</f>
        <v>Adhésions association</v>
      </c>
      <c r="N277" s="45">
        <f t="shared" si="25"/>
        <v>758100</v>
      </c>
      <c r="O277" s="280">
        <f t="shared" si="26"/>
        <v>50</v>
      </c>
      <c r="P277" s="84">
        <f t="shared" si="27"/>
        <v>2022</v>
      </c>
      <c r="Q277" s="281" t="str">
        <f>VLOOKUP($N277,'2 CODIFICATION'!$G$5:$L$69,3,FALSE)</f>
        <v>Cotisations individuelles et associatives</v>
      </c>
      <c r="R277" s="282" t="str">
        <f>VLOOKUP($N277,'2 CODIFICATION'!$G$5:$L$69,4,FALSE)</f>
        <v>pdts</v>
      </c>
      <c r="S277" s="282">
        <f>VLOOKUP($N277,'2 CODIFICATION'!$G$5:$L$69,5,FALSE)</f>
        <v>75</v>
      </c>
      <c r="T277" s="281" t="str">
        <f>VLOOKUP($N277,'2 CODIFICATION'!$G$5:$L$69,6,FALSE)</f>
        <v>Autres produits de gestion courante</v>
      </c>
    </row>
    <row r="278" spans="1:20" ht="14.5" hidden="1" customHeight="1">
      <c r="A278" s="78" t="s">
        <v>170</v>
      </c>
      <c r="B278" s="374" t="s">
        <v>79</v>
      </c>
      <c r="C278" s="383">
        <v>9</v>
      </c>
      <c r="D278" s="384">
        <v>44597</v>
      </c>
      <c r="E278" s="385" t="s">
        <v>444</v>
      </c>
      <c r="F278" s="383" t="s">
        <v>253</v>
      </c>
      <c r="G278" s="405">
        <v>100</v>
      </c>
      <c r="H278" s="406"/>
      <c r="I278" s="473">
        <f t="shared" si="24"/>
        <v>1834.6</v>
      </c>
      <c r="J278" s="386" t="s">
        <v>306</v>
      </c>
      <c r="K278" s="381">
        <v>7771</v>
      </c>
      <c r="L278" s="74" t="str">
        <f>VLOOKUP($J278,'2 CODIFICATION'!A$5:B$21,2,"FAUX")</f>
        <v>DASSOUTE TEUILLAC CANTINE</v>
      </c>
      <c r="M278" s="74" t="str">
        <f>VLOOKUP($K278,'2 CODIFICATION'!D$8:E$61,2,"FAUX")</f>
        <v>Dons et participations à l"association</v>
      </c>
      <c r="N278" s="45">
        <f t="shared" si="25"/>
        <v>777100</v>
      </c>
      <c r="O278" s="280">
        <f t="shared" si="26"/>
        <v>100</v>
      </c>
      <c r="P278" s="84">
        <f t="shared" si="27"/>
        <v>2022</v>
      </c>
      <c r="Q278" s="281" t="str">
        <f>VLOOKUP($N278,'2 CODIFICATION'!$G$5:$L$69,3,FALSE)</f>
        <v>Dons et autres mises à dispositions gratuites</v>
      </c>
      <c r="R278" s="282" t="str">
        <f>VLOOKUP($N278,'2 CODIFICATION'!$G$5:$L$69,4,FALSE)</f>
        <v>pdts</v>
      </c>
      <c r="S278" s="282">
        <f>VLOOKUP($N278,'2 CODIFICATION'!$G$5:$L$69,5,FALSE)</f>
        <v>77</v>
      </c>
      <c r="T278" s="281" t="str">
        <f>VLOOKUP($N278,'2 CODIFICATION'!$G$5:$L$69,6,FALSE)</f>
        <v>Produits exceptionnels</v>
      </c>
    </row>
    <row r="279" spans="1:20" ht="14.5" hidden="1" customHeight="1">
      <c r="A279" s="78" t="s">
        <v>170</v>
      </c>
      <c r="B279" s="374" t="s">
        <v>79</v>
      </c>
      <c r="C279" s="383">
        <v>10</v>
      </c>
      <c r="D279" s="384">
        <v>44597</v>
      </c>
      <c r="E279" s="383" t="s">
        <v>445</v>
      </c>
      <c r="F279" s="383" t="s">
        <v>253</v>
      </c>
      <c r="G279" s="405">
        <v>60</v>
      </c>
      <c r="H279" s="406"/>
      <c r="I279" s="473">
        <f t="shared" si="24"/>
        <v>1894.6</v>
      </c>
      <c r="J279" s="386" t="s">
        <v>306</v>
      </c>
      <c r="K279" s="381">
        <v>7771</v>
      </c>
      <c r="L279" s="74" t="str">
        <f>VLOOKUP($J279,'2 CODIFICATION'!A$5:B$21,2,"FAUX")</f>
        <v>DASSOUTE TEUILLAC CANTINE</v>
      </c>
      <c r="M279" s="74" t="str">
        <f>VLOOKUP($K279,'2 CODIFICATION'!D$8:E$61,2,"FAUX")</f>
        <v>Dons et participations à l"association</v>
      </c>
      <c r="N279" s="45">
        <f t="shared" si="25"/>
        <v>777100</v>
      </c>
      <c r="O279" s="280">
        <f t="shared" si="26"/>
        <v>60</v>
      </c>
      <c r="P279" s="84">
        <f t="shared" si="27"/>
        <v>2022</v>
      </c>
      <c r="Q279" s="281" t="str">
        <f>VLOOKUP($N279,'2 CODIFICATION'!$G$5:$L$69,3,FALSE)</f>
        <v>Dons et autres mises à dispositions gratuites</v>
      </c>
      <c r="R279" s="282" t="str">
        <f>VLOOKUP($N279,'2 CODIFICATION'!$G$5:$L$69,4,FALSE)</f>
        <v>pdts</v>
      </c>
      <c r="S279" s="282">
        <f>VLOOKUP($N279,'2 CODIFICATION'!$G$5:$L$69,5,FALSE)</f>
        <v>77</v>
      </c>
      <c r="T279" s="281" t="str">
        <f>VLOOKUP($N279,'2 CODIFICATION'!$G$5:$L$69,6,FALSE)</f>
        <v>Produits exceptionnels</v>
      </c>
    </row>
    <row r="280" spans="1:20" ht="14.5" hidden="1" customHeight="1">
      <c r="A280" s="78" t="s">
        <v>170</v>
      </c>
      <c r="B280" s="374" t="s">
        <v>79</v>
      </c>
      <c r="C280" s="383">
        <v>11</v>
      </c>
      <c r="D280" s="384">
        <v>44597</v>
      </c>
      <c r="E280" s="383" t="s">
        <v>446</v>
      </c>
      <c r="F280" s="383" t="s">
        <v>253</v>
      </c>
      <c r="G280" s="405">
        <v>100</v>
      </c>
      <c r="H280" s="406"/>
      <c r="I280" s="473">
        <f t="shared" si="24"/>
        <v>1994.6</v>
      </c>
      <c r="J280" s="386" t="s">
        <v>306</v>
      </c>
      <c r="K280" s="381">
        <v>7771</v>
      </c>
      <c r="L280" s="74" t="str">
        <f>VLOOKUP($J280,'2 CODIFICATION'!A$5:B$21,2,"FAUX")</f>
        <v>DASSOUTE TEUILLAC CANTINE</v>
      </c>
      <c r="M280" s="74" t="str">
        <f>VLOOKUP($K280,'2 CODIFICATION'!D$8:E$61,2,"FAUX")</f>
        <v>Dons et participations à l"association</v>
      </c>
      <c r="N280" s="45">
        <f t="shared" si="25"/>
        <v>777100</v>
      </c>
      <c r="O280" s="280">
        <f t="shared" si="26"/>
        <v>100</v>
      </c>
      <c r="P280" s="84">
        <f t="shared" si="27"/>
        <v>2022</v>
      </c>
      <c r="Q280" s="281" t="str">
        <f>VLOOKUP($N280,'2 CODIFICATION'!$G$5:$L$69,3,FALSE)</f>
        <v>Dons et autres mises à dispositions gratuites</v>
      </c>
      <c r="R280" s="282" t="str">
        <f>VLOOKUP($N280,'2 CODIFICATION'!$G$5:$L$69,4,FALSE)</f>
        <v>pdts</v>
      </c>
      <c r="S280" s="282">
        <f>VLOOKUP($N280,'2 CODIFICATION'!$G$5:$L$69,5,FALSE)</f>
        <v>77</v>
      </c>
      <c r="T280" s="281" t="str">
        <f>VLOOKUP($N280,'2 CODIFICATION'!$G$5:$L$69,6,FALSE)</f>
        <v>Produits exceptionnels</v>
      </c>
    </row>
    <row r="281" spans="1:20" ht="14.5" hidden="1" customHeight="1">
      <c r="A281" s="78" t="s">
        <v>170</v>
      </c>
      <c r="B281" s="374" t="s">
        <v>79</v>
      </c>
      <c r="C281" s="383">
        <v>12</v>
      </c>
      <c r="D281" s="384">
        <v>44614</v>
      </c>
      <c r="E281" s="383" t="s">
        <v>447</v>
      </c>
      <c r="F281" s="383" t="s">
        <v>253</v>
      </c>
      <c r="G281" s="406"/>
      <c r="H281" s="407">
        <v>54.27</v>
      </c>
      <c r="I281" s="473">
        <f t="shared" si="24"/>
        <v>1940.33</v>
      </c>
      <c r="J281" s="386" t="s">
        <v>198</v>
      </c>
      <c r="K281" s="381">
        <v>6230</v>
      </c>
      <c r="L281" s="74" t="str">
        <f>VLOOKUP($J281,'2 CODIFICATION'!A$5:B$21,2,"FAUX")</f>
        <v>HYGIENE MENSTRUELLE</v>
      </c>
      <c r="M281" s="74" t="str">
        <f>VLOOKUP($K281,'2 CODIFICATION'!D$8:E$61,2,"FAUX")</f>
        <v>communication</v>
      </c>
      <c r="N281" s="45">
        <f t="shared" si="25"/>
        <v>623000</v>
      </c>
      <c r="O281" s="280">
        <f t="shared" si="26"/>
        <v>-54.27</v>
      </c>
      <c r="P281" s="84">
        <f t="shared" si="27"/>
        <v>2022</v>
      </c>
      <c r="Q281" s="281" t="str">
        <f>VLOOKUP($N281,'2 CODIFICATION'!$G$5:$L$69,3,FALSE)</f>
        <v>Publicité, publications, Création de site web</v>
      </c>
      <c r="R281" s="282" t="str">
        <f>VLOOKUP($N281,'2 CODIFICATION'!$G$5:$L$69,4,FALSE)</f>
        <v>chges</v>
      </c>
      <c r="S281" s="282">
        <f>VLOOKUP($N281,'2 CODIFICATION'!$G$5:$L$69,5,FALSE)</f>
        <v>62</v>
      </c>
      <c r="T281" s="281" t="str">
        <f>VLOOKUP($N281,'2 CODIFICATION'!$G$5:$L$69,6,FALSE)</f>
        <v>Autres services extérieurs</v>
      </c>
    </row>
    <row r="282" spans="1:20" ht="14.5" hidden="1" customHeight="1">
      <c r="A282" s="78" t="s">
        <v>170</v>
      </c>
      <c r="B282" s="374" t="s">
        <v>79</v>
      </c>
      <c r="C282" s="383">
        <v>13</v>
      </c>
      <c r="D282" s="418">
        <v>44614</v>
      </c>
      <c r="E282" s="383" t="s">
        <v>448</v>
      </c>
      <c r="F282" s="383" t="s">
        <v>449</v>
      </c>
      <c r="G282" s="406"/>
      <c r="H282" s="407">
        <v>30</v>
      </c>
      <c r="I282" s="474">
        <f t="shared" si="24"/>
        <v>1910.33</v>
      </c>
      <c r="J282" s="386" t="s">
        <v>273</v>
      </c>
      <c r="K282" s="381">
        <v>6281</v>
      </c>
      <c r="L282" s="74" t="str">
        <f>VLOOKUP($J282,'2 CODIFICATION'!A$5:B$21,2,"FAUX")</f>
        <v>ADMINIST ET FONCT</v>
      </c>
      <c r="M282" s="74" t="str">
        <f>VLOOKUP($K282,'2 CODIFICATION'!D$8:E$61,2,"FAUX")</f>
        <v>adhésion Hellasso+ autres</v>
      </c>
      <c r="N282" s="45">
        <f t="shared" si="25"/>
        <v>628100</v>
      </c>
      <c r="O282" s="280">
        <f t="shared" si="26"/>
        <v>-30</v>
      </c>
      <c r="P282" s="84">
        <f t="shared" si="27"/>
        <v>2022</v>
      </c>
      <c r="Q282" s="281" t="str">
        <f>VLOOKUP($N282,'2 CODIFICATION'!$G$5:$L$69,3,FALSE)</f>
        <v>adhesion Hellasso</v>
      </c>
      <c r="R282" s="282" t="str">
        <f>VLOOKUP($N282,'2 CODIFICATION'!$G$5:$L$69,4,FALSE)</f>
        <v>chges</v>
      </c>
      <c r="S282" s="282">
        <f>VLOOKUP($N282,'2 CODIFICATION'!$G$5:$L$69,5,FALSE)</f>
        <v>62</v>
      </c>
      <c r="T282" s="281" t="str">
        <f>VLOOKUP($N282,'2 CODIFICATION'!$G$5:$L$69,6,FALSE)</f>
        <v>Autres services extérieurs</v>
      </c>
    </row>
    <row r="283" spans="1:20" ht="14.5" hidden="1" customHeight="1">
      <c r="A283" s="78" t="s">
        <v>170</v>
      </c>
      <c r="B283" s="374" t="s">
        <v>79</v>
      </c>
      <c r="C283" s="383">
        <v>14</v>
      </c>
      <c r="D283" s="384">
        <v>44619</v>
      </c>
      <c r="E283" s="383" t="s">
        <v>450</v>
      </c>
      <c r="F283" s="383" t="s">
        <v>27</v>
      </c>
      <c r="G283" s="406"/>
      <c r="H283" s="407">
        <v>153.9</v>
      </c>
      <c r="I283" s="473">
        <f t="shared" si="24"/>
        <v>1756.4299999999998</v>
      </c>
      <c r="J283" s="386" t="s">
        <v>306</v>
      </c>
      <c r="K283" s="381">
        <v>6250</v>
      </c>
      <c r="L283" s="74" t="str">
        <f>VLOOKUP($J283,'2 CODIFICATION'!A$5:B$21,2,"FAUX")</f>
        <v>DASSOUTE TEUILLAC CANTINE</v>
      </c>
      <c r="M283" s="74" t="str">
        <f>VLOOKUP($K283,'2 CODIFICATION'!D$8:E$61,2,"FAUX")</f>
        <v>déplacements</v>
      </c>
      <c r="N283" s="45">
        <f t="shared" si="25"/>
        <v>625000</v>
      </c>
      <c r="O283" s="280">
        <f t="shared" si="26"/>
        <v>-153.9</v>
      </c>
      <c r="P283" s="84">
        <f t="shared" si="27"/>
        <v>2022</v>
      </c>
      <c r="Q283" s="281" t="str">
        <f>VLOOKUP($N283,'2 CODIFICATION'!$G$5:$L$69,3,FALSE)</f>
        <v>Déplacements, missions et réceptions</v>
      </c>
      <c r="R283" s="282" t="str">
        <f>VLOOKUP($N283,'2 CODIFICATION'!$G$5:$L$69,4,FALSE)</f>
        <v>chges</v>
      </c>
      <c r="S283" s="282">
        <f>VLOOKUP($N283,'2 CODIFICATION'!$G$5:$L$69,5,FALSE)</f>
        <v>62</v>
      </c>
      <c r="T283" s="281" t="str">
        <f>VLOOKUP($N283,'2 CODIFICATION'!$G$5:$L$69,6,FALSE)</f>
        <v>Autres services extérieurs</v>
      </c>
    </row>
    <row r="284" spans="1:20" ht="14.5" hidden="1" customHeight="1">
      <c r="A284" s="78" t="s">
        <v>170</v>
      </c>
      <c r="B284" s="374" t="s">
        <v>79</v>
      </c>
      <c r="C284" s="383">
        <v>15</v>
      </c>
      <c r="D284" s="384">
        <v>44619</v>
      </c>
      <c r="E284" s="383" t="s">
        <v>451</v>
      </c>
      <c r="F284" s="383" t="s">
        <v>27</v>
      </c>
      <c r="G284" s="406"/>
      <c r="H284" s="407">
        <v>123.9</v>
      </c>
      <c r="I284" s="473">
        <f t="shared" si="24"/>
        <v>1632.5299999999997</v>
      </c>
      <c r="J284" s="386" t="s">
        <v>306</v>
      </c>
      <c r="K284" s="381">
        <v>6250</v>
      </c>
      <c r="L284" s="74" t="str">
        <f>VLOOKUP($J284,'2 CODIFICATION'!A$5:B$21,2,"FAUX")</f>
        <v>DASSOUTE TEUILLAC CANTINE</v>
      </c>
      <c r="M284" s="74" t="str">
        <f>VLOOKUP($K284,'2 CODIFICATION'!D$8:E$61,2,"FAUX")</f>
        <v>déplacements</v>
      </c>
      <c r="N284" s="45">
        <f t="shared" si="25"/>
        <v>625000</v>
      </c>
      <c r="O284" s="280">
        <f t="shared" si="26"/>
        <v>-123.9</v>
      </c>
      <c r="P284" s="84">
        <f t="shared" si="27"/>
        <v>2022</v>
      </c>
      <c r="Q284" s="281" t="str">
        <f>VLOOKUP($N284,'2 CODIFICATION'!$G$5:$L$69,3,FALSE)</f>
        <v>Déplacements, missions et réceptions</v>
      </c>
      <c r="R284" s="282" t="str">
        <f>VLOOKUP($N284,'2 CODIFICATION'!$G$5:$L$69,4,FALSE)</f>
        <v>chges</v>
      </c>
      <c r="S284" s="282">
        <f>VLOOKUP($N284,'2 CODIFICATION'!$G$5:$L$69,5,FALSE)</f>
        <v>62</v>
      </c>
      <c r="T284" s="281" t="str">
        <f>VLOOKUP($N284,'2 CODIFICATION'!$G$5:$L$69,6,FALSE)</f>
        <v>Autres services extérieurs</v>
      </c>
    </row>
    <row r="285" spans="1:20" ht="14.5" hidden="1" customHeight="1">
      <c r="A285" s="78" t="s">
        <v>170</v>
      </c>
      <c r="B285" s="374" t="s">
        <v>79</v>
      </c>
      <c r="C285" s="383">
        <v>16</v>
      </c>
      <c r="D285" s="384">
        <v>44619</v>
      </c>
      <c r="E285" s="383" t="s">
        <v>452</v>
      </c>
      <c r="F285" s="383" t="s">
        <v>253</v>
      </c>
      <c r="G285" s="405">
        <v>150</v>
      </c>
      <c r="H285" s="406"/>
      <c r="I285" s="473">
        <f t="shared" si="24"/>
        <v>1782.5299999999997</v>
      </c>
      <c r="J285" s="386" t="s">
        <v>306</v>
      </c>
      <c r="K285" s="381">
        <v>7771</v>
      </c>
      <c r="L285" s="74" t="str">
        <f>VLOOKUP($J285,'2 CODIFICATION'!A$5:B$21,2,"FAUX")</f>
        <v>DASSOUTE TEUILLAC CANTINE</v>
      </c>
      <c r="M285" s="74" t="str">
        <f>VLOOKUP($K285,'2 CODIFICATION'!D$8:E$61,2,"FAUX")</f>
        <v>Dons et participations à l"association</v>
      </c>
      <c r="N285" s="45">
        <f t="shared" si="25"/>
        <v>777100</v>
      </c>
      <c r="O285" s="280">
        <f t="shared" si="26"/>
        <v>150</v>
      </c>
      <c r="P285" s="84">
        <f t="shared" si="27"/>
        <v>2022</v>
      </c>
      <c r="Q285" s="281" t="str">
        <f>VLOOKUP($N285,'2 CODIFICATION'!$G$5:$L$69,3,FALSE)</f>
        <v>Dons et autres mises à dispositions gratuites</v>
      </c>
      <c r="R285" s="282" t="str">
        <f>VLOOKUP($N285,'2 CODIFICATION'!$G$5:$L$69,4,FALSE)</f>
        <v>pdts</v>
      </c>
      <c r="S285" s="282">
        <f>VLOOKUP($N285,'2 CODIFICATION'!$G$5:$L$69,5,FALSE)</f>
        <v>77</v>
      </c>
      <c r="T285" s="281" t="str">
        <f>VLOOKUP($N285,'2 CODIFICATION'!$G$5:$L$69,6,FALSE)</f>
        <v>Produits exceptionnels</v>
      </c>
    </row>
    <row r="286" spans="1:20" ht="14.5" hidden="1" customHeight="1">
      <c r="A286" s="78" t="s">
        <v>170</v>
      </c>
      <c r="B286" s="374" t="s">
        <v>79</v>
      </c>
      <c r="C286" s="383">
        <v>17</v>
      </c>
      <c r="D286" s="384">
        <v>44619</v>
      </c>
      <c r="E286" s="383" t="s">
        <v>453</v>
      </c>
      <c r="F286" s="383"/>
      <c r="G286" s="405">
        <v>50</v>
      </c>
      <c r="H286" s="406"/>
      <c r="I286" s="473">
        <f t="shared" si="24"/>
        <v>1832.5299999999997</v>
      </c>
      <c r="J286" s="386" t="s">
        <v>306</v>
      </c>
      <c r="K286" s="381">
        <v>7771</v>
      </c>
      <c r="L286" s="74" t="str">
        <f>VLOOKUP($J286,'2 CODIFICATION'!A$5:B$21,2,"FAUX")</f>
        <v>DASSOUTE TEUILLAC CANTINE</v>
      </c>
      <c r="M286" s="74" t="str">
        <f>VLOOKUP($K286,'2 CODIFICATION'!D$8:E$61,2,"FAUX")</f>
        <v>Dons et participations à l"association</v>
      </c>
      <c r="N286" s="45">
        <f t="shared" si="25"/>
        <v>777100</v>
      </c>
      <c r="O286" s="280">
        <f t="shared" si="26"/>
        <v>50</v>
      </c>
      <c r="P286" s="84">
        <f t="shared" si="27"/>
        <v>2022</v>
      </c>
      <c r="Q286" s="281" t="str">
        <f>VLOOKUP($N286,'2 CODIFICATION'!$G$5:$L$69,3,FALSE)</f>
        <v>Dons et autres mises à dispositions gratuites</v>
      </c>
      <c r="R286" s="282" t="str">
        <f>VLOOKUP($N286,'2 CODIFICATION'!$G$5:$L$69,4,FALSE)</f>
        <v>pdts</v>
      </c>
      <c r="S286" s="282">
        <f>VLOOKUP($N286,'2 CODIFICATION'!$G$5:$L$69,5,FALSE)</f>
        <v>77</v>
      </c>
      <c r="T286" s="281" t="str">
        <f>VLOOKUP($N286,'2 CODIFICATION'!$G$5:$L$69,6,FALSE)</f>
        <v>Produits exceptionnels</v>
      </c>
    </row>
    <row r="287" spans="1:20" ht="14.5" hidden="1" customHeight="1">
      <c r="A287" s="78" t="s">
        <v>170</v>
      </c>
      <c r="B287" s="374" t="s">
        <v>79</v>
      </c>
      <c r="C287" s="383">
        <v>18</v>
      </c>
      <c r="D287" s="384">
        <v>44638</v>
      </c>
      <c r="E287" s="383" t="s">
        <v>454</v>
      </c>
      <c r="F287" s="383" t="s">
        <v>253</v>
      </c>
      <c r="G287" s="405">
        <v>20</v>
      </c>
      <c r="H287" s="406"/>
      <c r="I287" s="473">
        <f t="shared" si="24"/>
        <v>1852.5299999999997</v>
      </c>
      <c r="J287" s="386" t="s">
        <v>273</v>
      </c>
      <c r="K287" s="381">
        <v>7581</v>
      </c>
      <c r="L287" s="74" t="str">
        <f>VLOOKUP($J287,'2 CODIFICATION'!A$5:B$21,2,"FAUX")</f>
        <v>ADMINIST ET FONCT</v>
      </c>
      <c r="M287" s="74" t="str">
        <f>VLOOKUP($K287,'2 CODIFICATION'!D$8:E$61,2,"FAUX")</f>
        <v>Adhésions association</v>
      </c>
      <c r="N287" s="45">
        <f t="shared" si="25"/>
        <v>758100</v>
      </c>
      <c r="O287" s="280">
        <f t="shared" si="26"/>
        <v>20</v>
      </c>
      <c r="P287" s="84">
        <f t="shared" si="27"/>
        <v>2022</v>
      </c>
      <c r="Q287" s="281" t="str">
        <f>VLOOKUP($N287,'2 CODIFICATION'!$G$5:$L$69,3,FALSE)</f>
        <v>Cotisations individuelles et associatives</v>
      </c>
      <c r="R287" s="282" t="str">
        <f>VLOOKUP($N287,'2 CODIFICATION'!$G$5:$L$69,4,FALSE)</f>
        <v>pdts</v>
      </c>
      <c r="S287" s="282">
        <f>VLOOKUP($N287,'2 CODIFICATION'!$G$5:$L$69,5,FALSE)</f>
        <v>75</v>
      </c>
      <c r="T287" s="281" t="str">
        <f>VLOOKUP($N287,'2 CODIFICATION'!$G$5:$L$69,6,FALSE)</f>
        <v>Autres produits de gestion courante</v>
      </c>
    </row>
    <row r="288" spans="1:20" ht="14.5" hidden="1" customHeight="1">
      <c r="A288" s="78" t="s">
        <v>170</v>
      </c>
      <c r="B288" s="374" t="s">
        <v>79</v>
      </c>
      <c r="C288" s="383">
        <v>19</v>
      </c>
      <c r="D288" s="384">
        <v>44638</v>
      </c>
      <c r="E288" s="383" t="s">
        <v>455</v>
      </c>
      <c r="F288" s="383" t="s">
        <v>253</v>
      </c>
      <c r="G288" s="405">
        <v>40</v>
      </c>
      <c r="H288" s="406"/>
      <c r="I288" s="473">
        <f t="shared" si="24"/>
        <v>1892.5299999999997</v>
      </c>
      <c r="J288" s="386" t="s">
        <v>273</v>
      </c>
      <c r="K288" s="381">
        <v>7581</v>
      </c>
      <c r="L288" s="74" t="str">
        <f>VLOOKUP($J288,'2 CODIFICATION'!A$5:B$21,2,"FAUX")</f>
        <v>ADMINIST ET FONCT</v>
      </c>
      <c r="M288" s="74" t="str">
        <f>VLOOKUP($K288,'2 CODIFICATION'!D$8:E$61,2,"FAUX")</f>
        <v>Adhésions association</v>
      </c>
      <c r="N288" s="45">
        <f t="shared" si="25"/>
        <v>758100</v>
      </c>
      <c r="O288" s="280">
        <f t="shared" si="26"/>
        <v>40</v>
      </c>
      <c r="P288" s="84">
        <f t="shared" si="27"/>
        <v>2022</v>
      </c>
      <c r="Q288" s="281" t="str">
        <f>VLOOKUP($N288,'2 CODIFICATION'!$G$5:$L$69,3,FALSE)</f>
        <v>Cotisations individuelles et associatives</v>
      </c>
      <c r="R288" s="282" t="str">
        <f>VLOOKUP($N288,'2 CODIFICATION'!$G$5:$L$69,4,FALSE)</f>
        <v>pdts</v>
      </c>
      <c r="S288" s="282">
        <f>VLOOKUP($N288,'2 CODIFICATION'!$G$5:$L$69,5,FALSE)</f>
        <v>75</v>
      </c>
      <c r="T288" s="281" t="str">
        <f>VLOOKUP($N288,'2 CODIFICATION'!$G$5:$L$69,6,FALSE)</f>
        <v>Autres produits de gestion courante</v>
      </c>
    </row>
    <row r="289" spans="1:20" ht="14.5" hidden="1" customHeight="1">
      <c r="A289" s="78" t="s">
        <v>170</v>
      </c>
      <c r="B289" s="374" t="s">
        <v>79</v>
      </c>
      <c r="C289" s="383">
        <v>20</v>
      </c>
      <c r="D289" s="384">
        <v>44638</v>
      </c>
      <c r="E289" s="383" t="s">
        <v>456</v>
      </c>
      <c r="F289" s="383" t="s">
        <v>253</v>
      </c>
      <c r="G289" s="408">
        <v>140</v>
      </c>
      <c r="H289" s="406"/>
      <c r="I289" s="473">
        <f t="shared" si="24"/>
        <v>2032.5299999999997</v>
      </c>
      <c r="J289" s="386" t="s">
        <v>306</v>
      </c>
      <c r="K289" s="381">
        <v>7771</v>
      </c>
      <c r="L289" s="74" t="str">
        <f>VLOOKUP($J289,'2 CODIFICATION'!A$5:B$21,2,"FAUX")</f>
        <v>DASSOUTE TEUILLAC CANTINE</v>
      </c>
      <c r="M289" s="74" t="str">
        <f>VLOOKUP($K289,'2 CODIFICATION'!D$8:E$61,2,"FAUX")</f>
        <v>Dons et participations à l"association</v>
      </c>
      <c r="N289" s="45">
        <f t="shared" si="25"/>
        <v>777100</v>
      </c>
      <c r="O289" s="280">
        <f t="shared" si="26"/>
        <v>140</v>
      </c>
      <c r="P289" s="84">
        <f t="shared" si="27"/>
        <v>2022</v>
      </c>
      <c r="Q289" s="281" t="str">
        <f>VLOOKUP($N289,'2 CODIFICATION'!$G$5:$L$69,3,FALSE)</f>
        <v>Dons et autres mises à dispositions gratuites</v>
      </c>
      <c r="R289" s="282" t="str">
        <f>VLOOKUP($N289,'2 CODIFICATION'!$G$5:$L$69,4,FALSE)</f>
        <v>pdts</v>
      </c>
      <c r="S289" s="282">
        <f>VLOOKUP($N289,'2 CODIFICATION'!$G$5:$L$69,5,FALSE)</f>
        <v>77</v>
      </c>
      <c r="T289" s="281" t="str">
        <f>VLOOKUP($N289,'2 CODIFICATION'!$G$5:$L$69,6,FALSE)</f>
        <v>Produits exceptionnels</v>
      </c>
    </row>
    <row r="290" spans="1:20" ht="14.5" hidden="1" customHeight="1">
      <c r="A290" s="78" t="s">
        <v>170</v>
      </c>
      <c r="B290" s="374" t="s">
        <v>79</v>
      </c>
      <c r="C290" s="383">
        <v>21</v>
      </c>
      <c r="D290" s="384">
        <v>44637</v>
      </c>
      <c r="E290" s="383" t="s">
        <v>457</v>
      </c>
      <c r="F290" s="383" t="s">
        <v>253</v>
      </c>
      <c r="G290" s="408">
        <v>60</v>
      </c>
      <c r="H290" s="406"/>
      <c r="I290" s="473">
        <f t="shared" si="24"/>
        <v>2092.5299999999997</v>
      </c>
      <c r="J290" s="386" t="s">
        <v>306</v>
      </c>
      <c r="K290" s="381">
        <v>7771</v>
      </c>
      <c r="L290" s="74" t="str">
        <f>VLOOKUP($J290,'2 CODIFICATION'!A$5:B$21,2,"FAUX")</f>
        <v>DASSOUTE TEUILLAC CANTINE</v>
      </c>
      <c r="M290" s="74" t="str">
        <f>VLOOKUP($K290,'2 CODIFICATION'!D$8:E$61,2,"FAUX")</f>
        <v>Dons et participations à l"association</v>
      </c>
      <c r="N290" s="45">
        <f t="shared" si="25"/>
        <v>777100</v>
      </c>
      <c r="O290" s="280">
        <f t="shared" si="26"/>
        <v>60</v>
      </c>
      <c r="P290" s="84">
        <f t="shared" si="27"/>
        <v>2022</v>
      </c>
      <c r="Q290" s="281" t="str">
        <f>VLOOKUP($N290,'2 CODIFICATION'!$G$5:$L$69,3,FALSE)</f>
        <v>Dons et autres mises à dispositions gratuites</v>
      </c>
      <c r="R290" s="282" t="str">
        <f>VLOOKUP($N290,'2 CODIFICATION'!$G$5:$L$69,4,FALSE)</f>
        <v>pdts</v>
      </c>
      <c r="S290" s="282">
        <f>VLOOKUP($N290,'2 CODIFICATION'!$G$5:$L$69,5,FALSE)</f>
        <v>77</v>
      </c>
      <c r="T290" s="281" t="str">
        <f>VLOOKUP($N290,'2 CODIFICATION'!$G$5:$L$69,6,FALSE)</f>
        <v>Produits exceptionnels</v>
      </c>
    </row>
    <row r="291" spans="1:20" ht="14.5" hidden="1" customHeight="1">
      <c r="A291" s="78" t="s">
        <v>170</v>
      </c>
      <c r="B291" s="374" t="s">
        <v>79</v>
      </c>
      <c r="C291" s="383">
        <v>24</v>
      </c>
      <c r="D291" s="384">
        <v>44638</v>
      </c>
      <c r="E291" s="383" t="s">
        <v>458</v>
      </c>
      <c r="F291" s="383" t="s">
        <v>253</v>
      </c>
      <c r="G291" s="406"/>
      <c r="H291" s="409">
        <v>56.79</v>
      </c>
      <c r="I291" s="473">
        <f t="shared" si="24"/>
        <v>2035.7399999999998</v>
      </c>
      <c r="J291" s="386" t="s">
        <v>198</v>
      </c>
      <c r="K291" s="381">
        <v>6230</v>
      </c>
      <c r="L291" s="74" t="str">
        <f>VLOOKUP($J291,'2 CODIFICATION'!A$5:B$21,2,"FAUX")</f>
        <v>HYGIENE MENSTRUELLE</v>
      </c>
      <c r="M291" s="74" t="str">
        <f>VLOOKUP($K291,'2 CODIFICATION'!D$8:E$61,2,"FAUX")</f>
        <v>communication</v>
      </c>
      <c r="N291" s="45">
        <f t="shared" si="25"/>
        <v>623000</v>
      </c>
      <c r="O291" s="280">
        <f t="shared" si="26"/>
        <v>-56.79</v>
      </c>
      <c r="P291" s="84">
        <f t="shared" si="27"/>
        <v>2022</v>
      </c>
      <c r="Q291" s="281" t="str">
        <f>VLOOKUP($N291,'2 CODIFICATION'!$G$5:$L$69,3,FALSE)</f>
        <v>Publicité, publications, Création de site web</v>
      </c>
      <c r="R291" s="282" t="str">
        <f>VLOOKUP($N291,'2 CODIFICATION'!$G$5:$L$69,4,FALSE)</f>
        <v>chges</v>
      </c>
      <c r="S291" s="282">
        <f>VLOOKUP($N291,'2 CODIFICATION'!$G$5:$L$69,5,FALSE)</f>
        <v>62</v>
      </c>
      <c r="T291" s="281" t="str">
        <f>VLOOKUP($N291,'2 CODIFICATION'!$G$5:$L$69,6,FALSE)</f>
        <v>Autres services extérieurs</v>
      </c>
    </row>
    <row r="292" spans="1:20" ht="14.5" hidden="1" customHeight="1">
      <c r="A292" s="78" t="s">
        <v>170</v>
      </c>
      <c r="B292" s="374" t="s">
        <v>79</v>
      </c>
      <c r="C292" s="383">
        <v>25</v>
      </c>
      <c r="D292" s="384">
        <v>44638</v>
      </c>
      <c r="E292" s="383" t="s">
        <v>459</v>
      </c>
      <c r="F292" s="383" t="s">
        <v>253</v>
      </c>
      <c r="G292" s="406"/>
      <c r="H292" s="407">
        <v>47.83</v>
      </c>
      <c r="I292" s="473">
        <f t="shared" si="24"/>
        <v>1987.9099999999999</v>
      </c>
      <c r="J292" s="398" t="s">
        <v>273</v>
      </c>
      <c r="K292" s="381">
        <v>6230</v>
      </c>
      <c r="L292" s="74" t="str">
        <f>VLOOKUP($J292,'2 CODIFICATION'!A$5:B$21,2,"FAUX")</f>
        <v>ADMINIST ET FONCT</v>
      </c>
      <c r="M292" s="74" t="str">
        <f>VLOOKUP($K292,'2 CODIFICATION'!D$8:E$61,2,"FAUX")</f>
        <v>communication</v>
      </c>
      <c r="N292" s="45">
        <f t="shared" si="25"/>
        <v>623000</v>
      </c>
      <c r="O292" s="280">
        <f t="shared" si="26"/>
        <v>-47.83</v>
      </c>
      <c r="P292" s="84">
        <f t="shared" si="27"/>
        <v>2022</v>
      </c>
      <c r="Q292" s="281" t="str">
        <f>VLOOKUP($N292,'2 CODIFICATION'!$G$5:$L$69,3,FALSE)</f>
        <v>Publicité, publications, Création de site web</v>
      </c>
      <c r="R292" s="282" t="str">
        <f>VLOOKUP($N292,'2 CODIFICATION'!$G$5:$L$69,4,FALSE)</f>
        <v>chges</v>
      </c>
      <c r="S292" s="282">
        <f>VLOOKUP($N292,'2 CODIFICATION'!$G$5:$L$69,5,FALSE)</f>
        <v>62</v>
      </c>
      <c r="T292" s="281" t="str">
        <f>VLOOKUP($N292,'2 CODIFICATION'!$G$5:$L$69,6,FALSE)</f>
        <v>Autres services extérieurs</v>
      </c>
    </row>
    <row r="293" spans="1:20" ht="14.5" hidden="1" customHeight="1">
      <c r="A293" s="78" t="s">
        <v>170</v>
      </c>
      <c r="B293" s="374" t="s">
        <v>79</v>
      </c>
      <c r="C293" s="383">
        <v>26</v>
      </c>
      <c r="D293" s="384">
        <v>44658</v>
      </c>
      <c r="E293" s="383" t="s">
        <v>460</v>
      </c>
      <c r="F293" s="383" t="s">
        <v>253</v>
      </c>
      <c r="G293" s="410">
        <v>100</v>
      </c>
      <c r="H293" s="406"/>
      <c r="I293" s="473">
        <f t="shared" si="24"/>
        <v>2087.91</v>
      </c>
      <c r="J293" s="386" t="s">
        <v>306</v>
      </c>
      <c r="K293" s="381">
        <v>7771</v>
      </c>
      <c r="L293" s="74" t="str">
        <f>VLOOKUP($J293,'2 CODIFICATION'!A$5:B$21,2,"FAUX")</f>
        <v>DASSOUTE TEUILLAC CANTINE</v>
      </c>
      <c r="M293" s="74" t="str">
        <f>VLOOKUP($K293,'2 CODIFICATION'!D$8:E$61,2,"FAUX")</f>
        <v>Dons et participations à l"association</v>
      </c>
      <c r="N293" s="45">
        <f t="shared" si="25"/>
        <v>777100</v>
      </c>
      <c r="O293" s="280">
        <f t="shared" si="26"/>
        <v>100</v>
      </c>
      <c r="P293" s="84">
        <f t="shared" si="27"/>
        <v>2022</v>
      </c>
      <c r="Q293" s="281" t="str">
        <f>VLOOKUP($N293,'2 CODIFICATION'!$G$5:$L$69,3,FALSE)</f>
        <v>Dons et autres mises à dispositions gratuites</v>
      </c>
      <c r="R293" s="282" t="str">
        <f>VLOOKUP($N293,'2 CODIFICATION'!$G$5:$L$69,4,FALSE)</f>
        <v>pdts</v>
      </c>
      <c r="S293" s="282">
        <f>VLOOKUP($N293,'2 CODIFICATION'!$G$5:$L$69,5,FALSE)</f>
        <v>77</v>
      </c>
      <c r="T293" s="281" t="str">
        <f>VLOOKUP($N293,'2 CODIFICATION'!$G$5:$L$69,6,FALSE)</f>
        <v>Produits exceptionnels</v>
      </c>
    </row>
    <row r="294" spans="1:20" ht="14.5" hidden="1" customHeight="1">
      <c r="A294" s="78" t="s">
        <v>170</v>
      </c>
      <c r="B294" s="374" t="s">
        <v>79</v>
      </c>
      <c r="C294" s="383">
        <v>27</v>
      </c>
      <c r="D294" s="384">
        <v>44658</v>
      </c>
      <c r="E294" s="383" t="s">
        <v>461</v>
      </c>
      <c r="F294" s="383" t="s">
        <v>253</v>
      </c>
      <c r="G294" s="410">
        <v>150</v>
      </c>
      <c r="H294" s="406"/>
      <c r="I294" s="473">
        <f t="shared" si="24"/>
        <v>2237.91</v>
      </c>
      <c r="J294" s="386" t="s">
        <v>306</v>
      </c>
      <c r="K294" s="381">
        <v>7771</v>
      </c>
      <c r="L294" s="74" t="str">
        <f>VLOOKUP($J294,'2 CODIFICATION'!A$5:B$21,2,"FAUX")</f>
        <v>DASSOUTE TEUILLAC CANTINE</v>
      </c>
      <c r="M294" s="74" t="str">
        <f>VLOOKUP($K294,'2 CODIFICATION'!D$8:E$61,2,"FAUX")</f>
        <v>Dons et participations à l"association</v>
      </c>
      <c r="N294" s="45">
        <f t="shared" si="25"/>
        <v>777100</v>
      </c>
      <c r="O294" s="280">
        <f t="shared" si="26"/>
        <v>150</v>
      </c>
      <c r="P294" s="84">
        <f t="shared" si="27"/>
        <v>2022</v>
      </c>
      <c r="Q294" s="281" t="str">
        <f>VLOOKUP($N294,'2 CODIFICATION'!$G$5:$L$69,3,FALSE)</f>
        <v>Dons et autres mises à dispositions gratuites</v>
      </c>
      <c r="R294" s="282" t="str">
        <f>VLOOKUP($N294,'2 CODIFICATION'!$G$5:$L$69,4,FALSE)</f>
        <v>pdts</v>
      </c>
      <c r="S294" s="282">
        <f>VLOOKUP($N294,'2 CODIFICATION'!$G$5:$L$69,5,FALSE)</f>
        <v>77</v>
      </c>
      <c r="T294" s="281" t="str">
        <f>VLOOKUP($N294,'2 CODIFICATION'!$G$5:$L$69,6,FALSE)</f>
        <v>Produits exceptionnels</v>
      </c>
    </row>
    <row r="295" spans="1:20" ht="14.5" hidden="1" customHeight="1">
      <c r="A295" s="78" t="s">
        <v>170</v>
      </c>
      <c r="B295" s="374" t="s">
        <v>79</v>
      </c>
      <c r="C295" s="383">
        <v>28</v>
      </c>
      <c r="D295" s="384">
        <v>44658</v>
      </c>
      <c r="E295" s="383" t="s">
        <v>462</v>
      </c>
      <c r="F295" s="383" t="s">
        <v>253</v>
      </c>
      <c r="G295" s="410">
        <v>50</v>
      </c>
      <c r="H295" s="406"/>
      <c r="I295" s="473">
        <f t="shared" si="24"/>
        <v>2287.91</v>
      </c>
      <c r="J295" s="386" t="s">
        <v>306</v>
      </c>
      <c r="K295" s="381">
        <v>7771</v>
      </c>
      <c r="L295" s="74" t="str">
        <f>VLOOKUP($J295,'2 CODIFICATION'!A$5:B$21,2,"FAUX")</f>
        <v>DASSOUTE TEUILLAC CANTINE</v>
      </c>
      <c r="M295" s="74" t="str">
        <f>VLOOKUP($K295,'2 CODIFICATION'!D$8:E$61,2,"FAUX")</f>
        <v>Dons et participations à l"association</v>
      </c>
      <c r="N295" s="45">
        <f t="shared" si="25"/>
        <v>777100</v>
      </c>
      <c r="O295" s="280">
        <f t="shared" si="26"/>
        <v>50</v>
      </c>
      <c r="P295" s="84">
        <f t="shared" si="27"/>
        <v>2022</v>
      </c>
      <c r="Q295" s="281" t="str">
        <f>VLOOKUP($N295,'2 CODIFICATION'!$G$5:$L$69,3,FALSE)</f>
        <v>Dons et autres mises à dispositions gratuites</v>
      </c>
      <c r="R295" s="282" t="str">
        <f>VLOOKUP($N295,'2 CODIFICATION'!$G$5:$L$69,4,FALSE)</f>
        <v>pdts</v>
      </c>
      <c r="S295" s="282">
        <f>VLOOKUP($N295,'2 CODIFICATION'!$G$5:$L$69,5,FALSE)</f>
        <v>77</v>
      </c>
      <c r="T295" s="281" t="str">
        <f>VLOOKUP($N295,'2 CODIFICATION'!$G$5:$L$69,6,FALSE)</f>
        <v>Produits exceptionnels</v>
      </c>
    </row>
    <row r="296" spans="1:20" ht="14.5" hidden="1" customHeight="1">
      <c r="A296" s="78" t="s">
        <v>170</v>
      </c>
      <c r="B296" s="374" t="s">
        <v>79</v>
      </c>
      <c r="C296" s="383">
        <v>29</v>
      </c>
      <c r="D296" s="384">
        <v>44658</v>
      </c>
      <c r="E296" s="383" t="s">
        <v>463</v>
      </c>
      <c r="F296" s="383" t="s">
        <v>253</v>
      </c>
      <c r="G296" s="410">
        <v>25</v>
      </c>
      <c r="H296" s="406"/>
      <c r="I296" s="473">
        <f t="shared" si="24"/>
        <v>2312.91</v>
      </c>
      <c r="J296" s="386" t="s">
        <v>306</v>
      </c>
      <c r="K296" s="381">
        <v>7771</v>
      </c>
      <c r="L296" s="74" t="str">
        <f>VLOOKUP($J296,'2 CODIFICATION'!A$5:B$21,2,"FAUX")</f>
        <v>DASSOUTE TEUILLAC CANTINE</v>
      </c>
      <c r="M296" s="74" t="str">
        <f>VLOOKUP($K296,'2 CODIFICATION'!D$8:E$61,2,"FAUX")</f>
        <v>Dons et participations à l"association</v>
      </c>
      <c r="N296" s="45">
        <f t="shared" si="25"/>
        <v>777100</v>
      </c>
      <c r="O296" s="280">
        <f t="shared" si="26"/>
        <v>25</v>
      </c>
      <c r="P296" s="84">
        <f t="shared" si="27"/>
        <v>2022</v>
      </c>
      <c r="Q296" s="281" t="str">
        <f>VLOOKUP($N296,'2 CODIFICATION'!$G$5:$L$69,3,FALSE)</f>
        <v>Dons et autres mises à dispositions gratuites</v>
      </c>
      <c r="R296" s="282" t="str">
        <f>VLOOKUP($N296,'2 CODIFICATION'!$G$5:$L$69,4,FALSE)</f>
        <v>pdts</v>
      </c>
      <c r="S296" s="282">
        <f>VLOOKUP($N296,'2 CODIFICATION'!$G$5:$L$69,5,FALSE)</f>
        <v>77</v>
      </c>
      <c r="T296" s="281" t="str">
        <f>VLOOKUP($N296,'2 CODIFICATION'!$G$5:$L$69,6,FALSE)</f>
        <v>Produits exceptionnels</v>
      </c>
    </row>
    <row r="297" spans="1:20" ht="14.5" hidden="1" customHeight="1">
      <c r="A297" s="78" t="s">
        <v>170</v>
      </c>
      <c r="B297" s="374" t="s">
        <v>79</v>
      </c>
      <c r="C297" s="383">
        <v>30</v>
      </c>
      <c r="D297" s="384">
        <v>44658</v>
      </c>
      <c r="E297" s="383" t="s">
        <v>464</v>
      </c>
      <c r="F297" s="383" t="s">
        <v>253</v>
      </c>
      <c r="G297" s="410">
        <v>10</v>
      </c>
      <c r="H297" s="406"/>
      <c r="I297" s="473">
        <f t="shared" si="24"/>
        <v>2322.91</v>
      </c>
      <c r="J297" s="386" t="s">
        <v>306</v>
      </c>
      <c r="K297" s="381">
        <v>7771</v>
      </c>
      <c r="L297" s="74" t="str">
        <f>VLOOKUP($J297,'2 CODIFICATION'!A$5:B$21,2,"FAUX")</f>
        <v>DASSOUTE TEUILLAC CANTINE</v>
      </c>
      <c r="M297" s="74" t="str">
        <f>VLOOKUP($K297,'2 CODIFICATION'!D$8:E$61,2,"FAUX")</f>
        <v>Dons et participations à l"association</v>
      </c>
      <c r="N297" s="45">
        <f t="shared" si="25"/>
        <v>777100</v>
      </c>
      <c r="O297" s="280">
        <f t="shared" si="26"/>
        <v>10</v>
      </c>
      <c r="P297" s="84">
        <f t="shared" si="27"/>
        <v>2022</v>
      </c>
      <c r="Q297" s="281" t="str">
        <f>VLOOKUP($N297,'2 CODIFICATION'!$G$5:$L$69,3,FALSE)</f>
        <v>Dons et autres mises à dispositions gratuites</v>
      </c>
      <c r="R297" s="282" t="str">
        <f>VLOOKUP($N297,'2 CODIFICATION'!$G$5:$L$69,4,FALSE)</f>
        <v>pdts</v>
      </c>
      <c r="S297" s="282">
        <f>VLOOKUP($N297,'2 CODIFICATION'!$G$5:$L$69,5,FALSE)</f>
        <v>77</v>
      </c>
      <c r="T297" s="281" t="str">
        <f>VLOOKUP($N297,'2 CODIFICATION'!$G$5:$L$69,6,FALSE)</f>
        <v>Produits exceptionnels</v>
      </c>
    </row>
    <row r="298" spans="1:20" ht="14.5" hidden="1" customHeight="1">
      <c r="A298" s="78" t="s">
        <v>170</v>
      </c>
      <c r="B298" s="374" t="s">
        <v>79</v>
      </c>
      <c r="C298" s="383">
        <v>31</v>
      </c>
      <c r="D298" s="384">
        <v>44658</v>
      </c>
      <c r="E298" s="383" t="s">
        <v>465</v>
      </c>
      <c r="F298" s="383" t="s">
        <v>253</v>
      </c>
      <c r="G298" s="410">
        <v>50</v>
      </c>
      <c r="H298" s="406"/>
      <c r="I298" s="473">
        <f t="shared" si="24"/>
        <v>2372.91</v>
      </c>
      <c r="J298" s="386" t="s">
        <v>306</v>
      </c>
      <c r="K298" s="381">
        <v>7771</v>
      </c>
      <c r="L298" s="74" t="str">
        <f>VLOOKUP($J298,'2 CODIFICATION'!A$5:B$21,2,"FAUX")</f>
        <v>DASSOUTE TEUILLAC CANTINE</v>
      </c>
      <c r="M298" s="74" t="str">
        <f>VLOOKUP($K298,'2 CODIFICATION'!D$8:E$61,2,"FAUX")</f>
        <v>Dons et participations à l"association</v>
      </c>
      <c r="N298" s="45">
        <f t="shared" si="25"/>
        <v>777100</v>
      </c>
      <c r="O298" s="280">
        <f t="shared" si="26"/>
        <v>50</v>
      </c>
      <c r="P298" s="84">
        <f t="shared" si="27"/>
        <v>2022</v>
      </c>
      <c r="Q298" s="281" t="str">
        <f>VLOOKUP($N298,'2 CODIFICATION'!$G$5:$L$69,3,FALSE)</f>
        <v>Dons et autres mises à dispositions gratuites</v>
      </c>
      <c r="R298" s="282" t="str">
        <f>VLOOKUP($N298,'2 CODIFICATION'!$G$5:$L$69,4,FALSE)</f>
        <v>pdts</v>
      </c>
      <c r="S298" s="282">
        <f>VLOOKUP($N298,'2 CODIFICATION'!$G$5:$L$69,5,FALSE)</f>
        <v>77</v>
      </c>
      <c r="T298" s="281" t="str">
        <f>VLOOKUP($N298,'2 CODIFICATION'!$G$5:$L$69,6,FALSE)</f>
        <v>Produits exceptionnels</v>
      </c>
    </row>
    <row r="299" spans="1:20" ht="14.5" hidden="1" customHeight="1">
      <c r="A299" s="78" t="s">
        <v>170</v>
      </c>
      <c r="B299" s="374" t="s">
        <v>79</v>
      </c>
      <c r="C299" s="383">
        <v>32</v>
      </c>
      <c r="D299" s="384">
        <v>44658</v>
      </c>
      <c r="E299" s="383" t="s">
        <v>466</v>
      </c>
      <c r="F299" s="383" t="s">
        <v>253</v>
      </c>
      <c r="G299" s="410">
        <v>30</v>
      </c>
      <c r="H299" s="406"/>
      <c r="I299" s="473">
        <f t="shared" si="24"/>
        <v>2402.91</v>
      </c>
      <c r="J299" s="386" t="s">
        <v>306</v>
      </c>
      <c r="K299" s="381">
        <v>7771</v>
      </c>
      <c r="L299" s="74" t="str">
        <f>VLOOKUP($J299,'2 CODIFICATION'!A$5:B$21,2,"FAUX")</f>
        <v>DASSOUTE TEUILLAC CANTINE</v>
      </c>
      <c r="M299" s="74" t="str">
        <f>VLOOKUP($K299,'2 CODIFICATION'!D$8:E$61,2,"FAUX")</f>
        <v>Dons et participations à l"association</v>
      </c>
      <c r="N299" s="45">
        <f t="shared" si="25"/>
        <v>777100</v>
      </c>
      <c r="O299" s="280">
        <f t="shared" si="26"/>
        <v>30</v>
      </c>
      <c r="P299" s="84">
        <f t="shared" si="27"/>
        <v>2022</v>
      </c>
      <c r="Q299" s="281" t="str">
        <f>VLOOKUP($N299,'2 CODIFICATION'!$G$5:$L$69,3,FALSE)</f>
        <v>Dons et autres mises à dispositions gratuites</v>
      </c>
      <c r="R299" s="282" t="str">
        <f>VLOOKUP($N299,'2 CODIFICATION'!$G$5:$L$69,4,FALSE)</f>
        <v>pdts</v>
      </c>
      <c r="S299" s="282">
        <f>VLOOKUP($N299,'2 CODIFICATION'!$G$5:$L$69,5,FALSE)</f>
        <v>77</v>
      </c>
      <c r="T299" s="281" t="str">
        <f>VLOOKUP($N299,'2 CODIFICATION'!$G$5:$L$69,6,FALSE)</f>
        <v>Produits exceptionnels</v>
      </c>
    </row>
    <row r="300" spans="1:20" ht="14.5" hidden="1" customHeight="1">
      <c r="A300" s="78" t="s">
        <v>170</v>
      </c>
      <c r="B300" s="374" t="s">
        <v>79</v>
      </c>
      <c r="C300" s="383">
        <v>33</v>
      </c>
      <c r="D300" s="384">
        <v>44658</v>
      </c>
      <c r="E300" s="383" t="s">
        <v>467</v>
      </c>
      <c r="F300" s="383" t="s">
        <v>253</v>
      </c>
      <c r="G300" s="410">
        <v>100</v>
      </c>
      <c r="H300" s="406"/>
      <c r="I300" s="473">
        <f t="shared" si="24"/>
        <v>2502.91</v>
      </c>
      <c r="J300" s="386" t="s">
        <v>306</v>
      </c>
      <c r="K300" s="381">
        <v>7771</v>
      </c>
      <c r="L300" s="74" t="str">
        <f>VLOOKUP($J300,'2 CODIFICATION'!A$5:B$21,2,"FAUX")</f>
        <v>DASSOUTE TEUILLAC CANTINE</v>
      </c>
      <c r="M300" s="74" t="str">
        <f>VLOOKUP($K300,'2 CODIFICATION'!D$8:E$61,2,"FAUX")</f>
        <v>Dons et participations à l"association</v>
      </c>
      <c r="N300" s="45">
        <f t="shared" si="25"/>
        <v>777100</v>
      </c>
      <c r="O300" s="280">
        <f t="shared" si="26"/>
        <v>100</v>
      </c>
      <c r="P300" s="84">
        <f t="shared" si="27"/>
        <v>2022</v>
      </c>
      <c r="Q300" s="281" t="str">
        <f>VLOOKUP($N300,'2 CODIFICATION'!$G$5:$L$69,3,FALSE)</f>
        <v>Dons et autres mises à dispositions gratuites</v>
      </c>
      <c r="R300" s="282" t="str">
        <f>VLOOKUP($N300,'2 CODIFICATION'!$G$5:$L$69,4,FALSE)</f>
        <v>pdts</v>
      </c>
      <c r="S300" s="282">
        <f>VLOOKUP($N300,'2 CODIFICATION'!$G$5:$L$69,5,FALSE)</f>
        <v>77</v>
      </c>
      <c r="T300" s="281" t="str">
        <f>VLOOKUP($N300,'2 CODIFICATION'!$G$5:$L$69,6,FALSE)</f>
        <v>Produits exceptionnels</v>
      </c>
    </row>
    <row r="301" spans="1:20" ht="14.5" hidden="1" customHeight="1">
      <c r="A301" s="78" t="s">
        <v>170</v>
      </c>
      <c r="B301" s="374" t="s">
        <v>79</v>
      </c>
      <c r="C301" s="383">
        <v>34</v>
      </c>
      <c r="D301" s="384">
        <v>44658</v>
      </c>
      <c r="E301" s="383" t="s">
        <v>468</v>
      </c>
      <c r="F301" s="383" t="s">
        <v>253</v>
      </c>
      <c r="G301" s="410">
        <v>50</v>
      </c>
      <c r="H301" s="406"/>
      <c r="I301" s="473">
        <f t="shared" si="24"/>
        <v>2552.91</v>
      </c>
      <c r="J301" s="386" t="s">
        <v>306</v>
      </c>
      <c r="K301" s="381">
        <v>7771</v>
      </c>
      <c r="L301" s="74" t="str">
        <f>VLOOKUP($J301,'2 CODIFICATION'!A$5:B$21,2,"FAUX")</f>
        <v>DASSOUTE TEUILLAC CANTINE</v>
      </c>
      <c r="M301" s="74" t="str">
        <f>VLOOKUP($K301,'2 CODIFICATION'!D$8:E$61,2,"FAUX")</f>
        <v>Dons et participations à l"association</v>
      </c>
      <c r="N301" s="45">
        <f>+K301*100</f>
        <v>777100</v>
      </c>
      <c r="O301" s="280">
        <f>G301-H301</f>
        <v>50</v>
      </c>
      <c r="P301" s="84">
        <f>YEAR(D301)</f>
        <v>2022</v>
      </c>
      <c r="Q301" s="281" t="str">
        <f>VLOOKUP($N301,'2 CODIFICATION'!$G$5:$L$69,3,FALSE)</f>
        <v>Dons et autres mises à dispositions gratuites</v>
      </c>
      <c r="R301" s="282" t="str">
        <f>VLOOKUP($N301,'2 CODIFICATION'!$G$5:$L$69,4,FALSE)</f>
        <v>pdts</v>
      </c>
      <c r="S301" s="282">
        <f>VLOOKUP($N301,'2 CODIFICATION'!$G$5:$L$69,5,FALSE)</f>
        <v>77</v>
      </c>
      <c r="T301" s="281" t="str">
        <f>VLOOKUP($N301,'2 CODIFICATION'!$G$5:$L$69,6,FALSE)</f>
        <v>Produits exceptionnels</v>
      </c>
    </row>
    <row r="302" spans="1:20" ht="14.5" hidden="1" customHeight="1">
      <c r="A302" s="78" t="s">
        <v>170</v>
      </c>
      <c r="B302" s="395" t="s">
        <v>79</v>
      </c>
      <c r="C302" s="396">
        <v>34</v>
      </c>
      <c r="D302" s="397">
        <v>44658</v>
      </c>
      <c r="E302" s="424" t="s">
        <v>516</v>
      </c>
      <c r="F302" s="396" t="s">
        <v>253</v>
      </c>
      <c r="G302" s="411">
        <v>90</v>
      </c>
      <c r="H302" s="412"/>
      <c r="I302" s="473">
        <f t="shared" si="24"/>
        <v>2642.91</v>
      </c>
      <c r="J302" s="398" t="s">
        <v>306</v>
      </c>
      <c r="K302" s="399">
        <v>7771</v>
      </c>
      <c r="L302" s="74" t="str">
        <f>VLOOKUP($J302,'2 CODIFICATION'!A$5:B$21,2,"FAUX")</f>
        <v>DASSOUTE TEUILLAC CANTINE</v>
      </c>
      <c r="M302" s="74" t="str">
        <f>VLOOKUP($K302,'2 CODIFICATION'!D$8:E$61,2,"FAUX")</f>
        <v>Dons et participations à l"association</v>
      </c>
      <c r="N302" s="401">
        <f t="shared" si="25"/>
        <v>777100</v>
      </c>
      <c r="O302" s="402">
        <f t="shared" si="26"/>
        <v>90</v>
      </c>
      <c r="P302" s="403">
        <f t="shared" si="27"/>
        <v>2022</v>
      </c>
      <c r="Q302" s="281" t="str">
        <f>VLOOKUP($N302,'2 CODIFICATION'!$G$5:$L$69,3,FALSE)</f>
        <v>Dons et autres mises à dispositions gratuites</v>
      </c>
      <c r="R302" s="282" t="str">
        <f>VLOOKUP($N302,'2 CODIFICATION'!$G$5:$L$69,4,FALSE)</f>
        <v>pdts</v>
      </c>
      <c r="S302" s="282">
        <f>VLOOKUP($N302,'2 CODIFICATION'!$G$5:$L$69,5,FALSE)</f>
        <v>77</v>
      </c>
      <c r="T302" s="281" t="str">
        <f>VLOOKUP($N302,'2 CODIFICATION'!$G$5:$L$69,6,FALSE)</f>
        <v>Produits exceptionnels</v>
      </c>
    </row>
    <row r="303" spans="1:20" ht="14.5" hidden="1" customHeight="1">
      <c r="A303" s="78" t="s">
        <v>170</v>
      </c>
      <c r="B303" s="374" t="s">
        <v>79</v>
      </c>
      <c r="C303" s="383">
        <v>35</v>
      </c>
      <c r="D303" s="384">
        <v>44658</v>
      </c>
      <c r="E303" s="383" t="s">
        <v>469</v>
      </c>
      <c r="F303" s="383" t="s">
        <v>253</v>
      </c>
      <c r="G303" s="410">
        <v>30</v>
      </c>
      <c r="H303" s="406"/>
      <c r="I303" s="473">
        <f t="shared" si="24"/>
        <v>2672.91</v>
      </c>
      <c r="J303" s="386" t="s">
        <v>306</v>
      </c>
      <c r="K303" s="381">
        <v>7771</v>
      </c>
      <c r="L303" s="74" t="str">
        <f>VLOOKUP($J303,'2 CODIFICATION'!A$5:B$21,2,"FAUX")</f>
        <v>DASSOUTE TEUILLAC CANTINE</v>
      </c>
      <c r="M303" s="74" t="str">
        <f>VLOOKUP($K303,'2 CODIFICATION'!D$8:E$61,2,"FAUX")</f>
        <v>Dons et participations à l"association</v>
      </c>
      <c r="N303" s="45">
        <f t="shared" si="25"/>
        <v>777100</v>
      </c>
      <c r="O303" s="280">
        <f t="shared" si="26"/>
        <v>30</v>
      </c>
      <c r="P303" s="84">
        <f t="shared" si="27"/>
        <v>2022</v>
      </c>
      <c r="Q303" s="281" t="str">
        <f>VLOOKUP($N303,'2 CODIFICATION'!$G$5:$L$69,3,FALSE)</f>
        <v>Dons et autres mises à dispositions gratuites</v>
      </c>
      <c r="R303" s="282" t="str">
        <f>VLOOKUP($N303,'2 CODIFICATION'!$G$5:$L$69,4,FALSE)</f>
        <v>pdts</v>
      </c>
      <c r="S303" s="282">
        <f>VLOOKUP($N303,'2 CODIFICATION'!$G$5:$L$69,5,FALSE)</f>
        <v>77</v>
      </c>
      <c r="T303" s="281" t="str">
        <f>VLOOKUP($N303,'2 CODIFICATION'!$G$5:$L$69,6,FALSE)</f>
        <v>Produits exceptionnels</v>
      </c>
    </row>
    <row r="304" spans="1:20" ht="14.5" hidden="1" customHeight="1">
      <c r="A304" s="78" t="s">
        <v>170</v>
      </c>
      <c r="B304" s="374" t="s">
        <v>79</v>
      </c>
      <c r="C304" s="383">
        <v>36</v>
      </c>
      <c r="D304" s="384">
        <v>44671</v>
      </c>
      <c r="E304" s="383" t="s">
        <v>470</v>
      </c>
      <c r="F304" s="383" t="s">
        <v>253</v>
      </c>
      <c r="G304" s="413">
        <v>350</v>
      </c>
      <c r="H304" s="406"/>
      <c r="I304" s="473">
        <f t="shared" si="24"/>
        <v>3022.91</v>
      </c>
      <c r="J304" s="386" t="s">
        <v>306</v>
      </c>
      <c r="K304" s="381">
        <v>7771</v>
      </c>
      <c r="L304" s="74" t="str">
        <f>VLOOKUP($J304,'2 CODIFICATION'!A$5:B$21,2,"FAUX")</f>
        <v>DASSOUTE TEUILLAC CANTINE</v>
      </c>
      <c r="M304" s="74" t="str">
        <f>VLOOKUP($K304,'2 CODIFICATION'!D$8:E$61,2,"FAUX")</f>
        <v>Dons et participations à l"association</v>
      </c>
      <c r="N304" s="45">
        <f t="shared" si="25"/>
        <v>777100</v>
      </c>
      <c r="O304" s="280">
        <f t="shared" si="26"/>
        <v>350</v>
      </c>
      <c r="P304" s="84">
        <f t="shared" si="27"/>
        <v>2022</v>
      </c>
      <c r="Q304" s="281" t="str">
        <f>VLOOKUP($N304,'2 CODIFICATION'!$G$5:$L$69,3,FALSE)</f>
        <v>Dons et autres mises à dispositions gratuites</v>
      </c>
      <c r="R304" s="282" t="str">
        <f>VLOOKUP($N304,'2 CODIFICATION'!$G$5:$L$69,4,FALSE)</f>
        <v>pdts</v>
      </c>
      <c r="S304" s="282">
        <f>VLOOKUP($N304,'2 CODIFICATION'!$G$5:$L$69,5,FALSE)</f>
        <v>77</v>
      </c>
      <c r="T304" s="281" t="str">
        <f>VLOOKUP($N304,'2 CODIFICATION'!$G$5:$L$69,6,FALSE)</f>
        <v>Produits exceptionnels</v>
      </c>
    </row>
    <row r="305" spans="1:20" ht="14.5" hidden="1" customHeight="1">
      <c r="A305" s="78" t="s">
        <v>170</v>
      </c>
      <c r="B305" s="374" t="s">
        <v>79</v>
      </c>
      <c r="C305" s="383">
        <v>37</v>
      </c>
      <c r="D305" s="384">
        <v>44671</v>
      </c>
      <c r="E305" s="383" t="s">
        <v>471</v>
      </c>
      <c r="F305" s="383" t="s">
        <v>253</v>
      </c>
      <c r="G305" s="413">
        <v>210</v>
      </c>
      <c r="H305" s="406"/>
      <c r="I305" s="473">
        <f t="shared" si="24"/>
        <v>3232.91</v>
      </c>
      <c r="J305" s="386" t="s">
        <v>306</v>
      </c>
      <c r="K305" s="381">
        <v>7771</v>
      </c>
      <c r="L305" s="74" t="str">
        <f>VLOOKUP($J305,'2 CODIFICATION'!A$5:B$21,2,"FAUX")</f>
        <v>DASSOUTE TEUILLAC CANTINE</v>
      </c>
      <c r="M305" s="74" t="str">
        <f>VLOOKUP($K305,'2 CODIFICATION'!D$8:E$61,2,"FAUX")</f>
        <v>Dons et participations à l"association</v>
      </c>
      <c r="N305" s="45">
        <f t="shared" si="25"/>
        <v>777100</v>
      </c>
      <c r="O305" s="280">
        <f t="shared" si="26"/>
        <v>210</v>
      </c>
      <c r="P305" s="84">
        <f t="shared" si="27"/>
        <v>2022</v>
      </c>
      <c r="Q305" s="281" t="str">
        <f>VLOOKUP($N305,'2 CODIFICATION'!$G$5:$L$69,3,FALSE)</f>
        <v>Dons et autres mises à dispositions gratuites</v>
      </c>
      <c r="R305" s="282" t="str">
        <f>VLOOKUP($N305,'2 CODIFICATION'!$G$5:$L$69,4,FALSE)</f>
        <v>pdts</v>
      </c>
      <c r="S305" s="282">
        <f>VLOOKUP($N305,'2 CODIFICATION'!$G$5:$L$69,5,FALSE)</f>
        <v>77</v>
      </c>
      <c r="T305" s="281" t="str">
        <f>VLOOKUP($N305,'2 CODIFICATION'!$G$5:$L$69,6,FALSE)</f>
        <v>Produits exceptionnels</v>
      </c>
    </row>
    <row r="306" spans="1:20" ht="14.5" hidden="1" customHeight="1">
      <c r="A306" s="78" t="s">
        <v>170</v>
      </c>
      <c r="B306" s="374" t="s">
        <v>79</v>
      </c>
      <c r="C306" s="387">
        <v>38</v>
      </c>
      <c r="D306" s="388">
        <v>44707</v>
      </c>
      <c r="E306" s="389" t="s">
        <v>472</v>
      </c>
      <c r="F306" s="389" t="s">
        <v>253</v>
      </c>
      <c r="G306" s="414"/>
      <c r="H306" s="409">
        <v>56.79</v>
      </c>
      <c r="I306" s="473">
        <f t="shared" si="24"/>
        <v>3176.12</v>
      </c>
      <c r="J306" s="390" t="s">
        <v>198</v>
      </c>
      <c r="K306" s="381">
        <v>6230</v>
      </c>
      <c r="L306" s="74" t="str">
        <f>VLOOKUP($J306,'2 CODIFICATION'!A$5:B$21,2,"FAUX")</f>
        <v>HYGIENE MENSTRUELLE</v>
      </c>
      <c r="M306" s="74" t="str">
        <f>VLOOKUP($K306,'2 CODIFICATION'!D$8:E$61,2,"FAUX")</f>
        <v>communication</v>
      </c>
      <c r="N306" s="45">
        <f t="shared" si="25"/>
        <v>623000</v>
      </c>
      <c r="O306" s="280">
        <f t="shared" si="26"/>
        <v>-56.79</v>
      </c>
      <c r="P306" s="84">
        <f t="shared" si="27"/>
        <v>2022</v>
      </c>
      <c r="Q306" s="281" t="str">
        <f>VLOOKUP($N306,'2 CODIFICATION'!$G$5:$L$69,3,FALSE)</f>
        <v>Publicité, publications, Création de site web</v>
      </c>
      <c r="R306" s="282" t="str">
        <f>VLOOKUP($N306,'2 CODIFICATION'!$G$5:$L$69,4,FALSE)</f>
        <v>chges</v>
      </c>
      <c r="S306" s="282">
        <f>VLOOKUP($N306,'2 CODIFICATION'!$G$5:$L$69,5,FALSE)</f>
        <v>62</v>
      </c>
      <c r="T306" s="281" t="str">
        <f>VLOOKUP($N306,'2 CODIFICATION'!$G$5:$L$69,6,FALSE)</f>
        <v>Autres services extérieurs</v>
      </c>
    </row>
    <row r="307" spans="1:20" ht="14.5" hidden="1" customHeight="1">
      <c r="A307" s="78" t="s">
        <v>170</v>
      </c>
      <c r="B307" s="374" t="s">
        <v>79</v>
      </c>
      <c r="C307" s="383">
        <v>40</v>
      </c>
      <c r="D307" s="384">
        <v>44683</v>
      </c>
      <c r="E307" s="383" t="s">
        <v>473</v>
      </c>
      <c r="F307" s="383" t="s">
        <v>253</v>
      </c>
      <c r="G307" s="415"/>
      <c r="H307" s="441">
        <v>20</v>
      </c>
      <c r="I307" s="475">
        <f t="shared" si="24"/>
        <v>3156.12</v>
      </c>
      <c r="J307" s="466" t="s">
        <v>527</v>
      </c>
      <c r="K307" s="20">
        <f>N307/100</f>
        <v>6230</v>
      </c>
      <c r="L307" s="74" t="str">
        <f>VLOOKUP($J307,'2 CODIFICATION'!A$5:B$21,2,"FAUX")</f>
        <v>TOILETTES ECOSAN</v>
      </c>
      <c r="M307" s="74" t="str">
        <f>VLOOKUP($K307,'2 CODIFICATION'!D$8:E$61,2,"FAUX")</f>
        <v>communication</v>
      </c>
      <c r="N307" s="45">
        <v>623000</v>
      </c>
      <c r="O307" s="280">
        <f t="shared" si="26"/>
        <v>-20</v>
      </c>
      <c r="P307" s="84">
        <f t="shared" si="27"/>
        <v>2022</v>
      </c>
      <c r="Q307" s="281" t="str">
        <f>VLOOKUP($N307,'2 CODIFICATION'!$G$5:$L$69,3,FALSE)</f>
        <v>Publicité, publications, Création de site web</v>
      </c>
      <c r="R307" s="282" t="str">
        <f>VLOOKUP($N307,'2 CODIFICATION'!$G$5:$L$69,4,FALSE)</f>
        <v>chges</v>
      </c>
      <c r="S307" s="282">
        <f>VLOOKUP($N307,'2 CODIFICATION'!$G$5:$L$69,5,FALSE)</f>
        <v>62</v>
      </c>
      <c r="T307" s="281" t="str">
        <f>VLOOKUP($N307,'2 CODIFICATION'!$G$5:$L$69,6,FALSE)</f>
        <v>Autres services extérieurs</v>
      </c>
    </row>
    <row r="308" spans="1:20" ht="14.5" hidden="1" customHeight="1">
      <c r="A308" s="78" t="s">
        <v>170</v>
      </c>
      <c r="B308" s="374" t="s">
        <v>79</v>
      </c>
      <c r="C308" s="383">
        <v>42</v>
      </c>
      <c r="D308" s="384">
        <v>44672</v>
      </c>
      <c r="E308" s="383" t="s">
        <v>474</v>
      </c>
      <c r="F308" s="383" t="s">
        <v>253</v>
      </c>
      <c r="G308" s="407">
        <v>210</v>
      </c>
      <c r="H308" s="406"/>
      <c r="I308" s="473">
        <f t="shared" si="24"/>
        <v>3366.12</v>
      </c>
      <c r="J308" s="386" t="s">
        <v>306</v>
      </c>
      <c r="K308" s="381">
        <v>7771</v>
      </c>
      <c r="L308" s="74" t="str">
        <f>VLOOKUP($J308,'2 CODIFICATION'!A$5:B$21,2,"FAUX")</f>
        <v>DASSOUTE TEUILLAC CANTINE</v>
      </c>
      <c r="M308" s="74" t="str">
        <f>VLOOKUP($K308,'2 CODIFICATION'!D$8:E$61,2,"FAUX")</f>
        <v>Dons et participations à l"association</v>
      </c>
      <c r="N308" s="45">
        <f t="shared" si="25"/>
        <v>777100</v>
      </c>
      <c r="O308" s="280">
        <f t="shared" si="26"/>
        <v>210</v>
      </c>
      <c r="P308" s="84">
        <f t="shared" si="27"/>
        <v>2022</v>
      </c>
      <c r="Q308" s="281" t="str">
        <f>VLOOKUP($N308,'2 CODIFICATION'!$G$5:$L$69,3,FALSE)</f>
        <v>Dons et autres mises à dispositions gratuites</v>
      </c>
      <c r="R308" s="282" t="str">
        <f>VLOOKUP($N308,'2 CODIFICATION'!$G$5:$L$69,4,FALSE)</f>
        <v>pdts</v>
      </c>
      <c r="S308" s="282">
        <f>VLOOKUP($N308,'2 CODIFICATION'!$G$5:$L$69,5,FALSE)</f>
        <v>77</v>
      </c>
      <c r="T308" s="281" t="str">
        <f>VLOOKUP($N308,'2 CODIFICATION'!$G$5:$L$69,6,FALSE)</f>
        <v>Produits exceptionnels</v>
      </c>
    </row>
    <row r="309" spans="1:20" ht="14.5" hidden="1" customHeight="1">
      <c r="A309" s="78" t="s">
        <v>170</v>
      </c>
      <c r="B309" s="374" t="s">
        <v>79</v>
      </c>
      <c r="C309" s="383">
        <v>43</v>
      </c>
      <c r="D309" s="384">
        <v>44698</v>
      </c>
      <c r="E309" s="462" t="s">
        <v>562</v>
      </c>
      <c r="F309" s="383" t="s">
        <v>253</v>
      </c>
      <c r="G309" s="407">
        <v>15000</v>
      </c>
      <c r="H309" s="406"/>
      <c r="I309" s="473">
        <f t="shared" si="24"/>
        <v>18366.12</v>
      </c>
      <c r="J309" s="386" t="s">
        <v>306</v>
      </c>
      <c r="K309" s="381">
        <v>7480</v>
      </c>
      <c r="L309" s="74" t="str">
        <f>VLOOKUP($J309,'2 CODIFICATION'!A$5:B$21,2,"FAUX")</f>
        <v>DASSOUTE TEUILLAC CANTINE</v>
      </c>
      <c r="M309" s="74" t="str">
        <f>VLOOKUP($K309,'2 CODIFICATION'!D$8:E$61,2,"FAUX")</f>
        <v>Subventions Teuillac</v>
      </c>
      <c r="N309" s="45">
        <f t="shared" si="25"/>
        <v>748000</v>
      </c>
      <c r="O309" s="280">
        <f t="shared" si="26"/>
        <v>15000</v>
      </c>
      <c r="P309" s="84">
        <f t="shared" si="27"/>
        <v>2022</v>
      </c>
      <c r="Q309" s="281" t="str">
        <f>VLOOKUP($N309,'2 CODIFICATION'!$G$5:$L$69,3,FALSE)</f>
        <v>Mairie de Teuillac</v>
      </c>
      <c r="R309" s="282" t="str">
        <f>VLOOKUP($N309,'2 CODIFICATION'!$G$5:$L$69,4,FALSE)</f>
        <v>pdts</v>
      </c>
      <c r="S309" s="282">
        <f>VLOOKUP($N309,'2 CODIFICATION'!$G$5:$L$69,5,FALSE)</f>
        <v>74</v>
      </c>
      <c r="T309" s="281" t="str">
        <f>VLOOKUP($N309,'2 CODIFICATION'!$G$5:$L$69,6,FALSE)</f>
        <v>Subventions d'exploitation</v>
      </c>
    </row>
    <row r="310" spans="1:20" ht="14.5" hidden="1" customHeight="1">
      <c r="A310" s="78" t="s">
        <v>170</v>
      </c>
      <c r="B310" s="374" t="s">
        <v>79</v>
      </c>
      <c r="C310" s="383">
        <v>44</v>
      </c>
      <c r="D310" s="384">
        <v>44700</v>
      </c>
      <c r="E310" s="383" t="s">
        <v>476</v>
      </c>
      <c r="F310" s="383" t="s">
        <v>253</v>
      </c>
      <c r="G310" s="407">
        <v>810</v>
      </c>
      <c r="H310" s="406"/>
      <c r="I310" s="473">
        <f t="shared" si="24"/>
        <v>19176.12</v>
      </c>
      <c r="J310" s="386" t="s">
        <v>306</v>
      </c>
      <c r="K310" s="381">
        <v>7771</v>
      </c>
      <c r="L310" s="74" t="str">
        <f>VLOOKUP($J310,'2 CODIFICATION'!A$5:B$21,2,"FAUX")</f>
        <v>DASSOUTE TEUILLAC CANTINE</v>
      </c>
      <c r="M310" s="74" t="str">
        <f>VLOOKUP($K310,'2 CODIFICATION'!D$8:E$61,2,"FAUX")</f>
        <v>Dons et participations à l"association</v>
      </c>
      <c r="N310" s="45">
        <f t="shared" si="25"/>
        <v>777100</v>
      </c>
      <c r="O310" s="280">
        <f t="shared" si="26"/>
        <v>810</v>
      </c>
      <c r="P310" s="84">
        <f t="shared" si="27"/>
        <v>2022</v>
      </c>
      <c r="Q310" s="281" t="str">
        <f>VLOOKUP($N310,'2 CODIFICATION'!$G$5:$L$69,3,FALSE)</f>
        <v>Dons et autres mises à dispositions gratuites</v>
      </c>
      <c r="R310" s="282" t="str">
        <f>VLOOKUP($N310,'2 CODIFICATION'!$G$5:$L$69,4,FALSE)</f>
        <v>pdts</v>
      </c>
      <c r="S310" s="282">
        <f>VLOOKUP($N310,'2 CODIFICATION'!$G$5:$L$69,5,FALSE)</f>
        <v>77</v>
      </c>
      <c r="T310" s="281" t="str">
        <f>VLOOKUP($N310,'2 CODIFICATION'!$G$5:$L$69,6,FALSE)</f>
        <v>Produits exceptionnels</v>
      </c>
    </row>
    <row r="311" spans="1:20" ht="14.5" hidden="1" customHeight="1">
      <c r="A311" s="78" t="s">
        <v>170</v>
      </c>
      <c r="B311" s="374" t="s">
        <v>79</v>
      </c>
      <c r="C311" s="383">
        <v>45</v>
      </c>
      <c r="D311" s="384">
        <v>44700</v>
      </c>
      <c r="E311" s="462" t="s">
        <v>563</v>
      </c>
      <c r="F311" s="383" t="s">
        <v>256</v>
      </c>
      <c r="G311" s="406"/>
      <c r="H311" s="407">
        <v>2250</v>
      </c>
      <c r="I311" s="473">
        <f t="shared" si="24"/>
        <v>16926.12</v>
      </c>
      <c r="J311" s="386" t="s">
        <v>306</v>
      </c>
      <c r="K311" s="381">
        <v>6071</v>
      </c>
      <c r="L311" s="74" t="str">
        <f>VLOOKUP($J311,'2 CODIFICATION'!A$5:B$21,2,"FAUX")</f>
        <v>DASSOUTE TEUILLAC CANTINE</v>
      </c>
      <c r="M311" s="74" t="str">
        <f>VLOOKUP($K311,'2 CODIFICATION'!D$8:E$61,2,"FAUX")</f>
        <v>Achats fournitures et matériels</v>
      </c>
      <c r="N311" s="45">
        <f t="shared" si="25"/>
        <v>607100</v>
      </c>
      <c r="O311" s="280">
        <f t="shared" si="26"/>
        <v>-2250</v>
      </c>
      <c r="P311" s="84">
        <f t="shared" si="27"/>
        <v>2022</v>
      </c>
      <c r="Q311" s="281" t="str">
        <f>VLOOKUP($N311,'2 CODIFICATION'!$G$5:$L$69,3,FALSE)</f>
        <v>Achats fournitures et matériels</v>
      </c>
      <c r="R311" s="282" t="str">
        <f>VLOOKUP($N311,'2 CODIFICATION'!$G$5:$L$69,4,FALSE)</f>
        <v>chges</v>
      </c>
      <c r="S311" s="282">
        <f>VLOOKUP($N311,'2 CODIFICATION'!$G$5:$L$69,5,FALSE)</f>
        <v>60</v>
      </c>
      <c r="T311" s="281" t="str">
        <f>VLOOKUP($N311,'2 CODIFICATION'!$G$5:$L$69,6,FALSE)</f>
        <v>Services extérieurs</v>
      </c>
    </row>
    <row r="312" spans="1:20" ht="14.5" hidden="1" customHeight="1">
      <c r="A312" s="78" t="s">
        <v>170</v>
      </c>
      <c r="B312" s="374" t="s">
        <v>79</v>
      </c>
      <c r="C312" s="383">
        <v>46</v>
      </c>
      <c r="D312" s="384">
        <v>44700</v>
      </c>
      <c r="E312" s="383" t="s">
        <v>478</v>
      </c>
      <c r="F312" s="383" t="s">
        <v>479</v>
      </c>
      <c r="G312" s="406"/>
      <c r="H312" s="407">
        <v>18.399999999999999</v>
      </c>
      <c r="I312" s="473">
        <f t="shared" si="24"/>
        <v>16907.719999999998</v>
      </c>
      <c r="J312" s="386" t="s">
        <v>306</v>
      </c>
      <c r="K312" s="381">
        <v>6270</v>
      </c>
      <c r="L312" s="74" t="str">
        <f>VLOOKUP($J312,'2 CODIFICATION'!A$5:B$21,2,"FAUX")</f>
        <v>DASSOUTE TEUILLAC CANTINE</v>
      </c>
      <c r="M312" s="74" t="str">
        <f>VLOOKUP($K312,'2 CODIFICATION'!D$8:E$61,2,"FAUX")</f>
        <v>Frais de banque</v>
      </c>
      <c r="N312" s="45">
        <f t="shared" si="25"/>
        <v>627000</v>
      </c>
      <c r="O312" s="280">
        <f t="shared" si="26"/>
        <v>-18.399999999999999</v>
      </c>
      <c r="P312" s="84">
        <f t="shared" si="27"/>
        <v>2022</v>
      </c>
      <c r="Q312" s="281" t="str">
        <f>VLOOKUP($N312,'2 CODIFICATION'!$G$5:$L$69,3,FALSE)</f>
        <v>Frais bancaires</v>
      </c>
      <c r="R312" s="282" t="str">
        <f>VLOOKUP($N312,'2 CODIFICATION'!$G$5:$L$69,4,FALSE)</f>
        <v>chges</v>
      </c>
      <c r="S312" s="282">
        <f>VLOOKUP($N312,'2 CODIFICATION'!$G$5:$L$69,5,FALSE)</f>
        <v>62</v>
      </c>
      <c r="T312" s="281" t="str">
        <f>VLOOKUP($N312,'2 CODIFICATION'!$G$5:$L$69,6,FALSE)</f>
        <v>Autres services extérieurs</v>
      </c>
    </row>
    <row r="313" spans="1:20" ht="14.5" hidden="1" customHeight="1">
      <c r="A313" s="78" t="s">
        <v>170</v>
      </c>
      <c r="B313" s="374" t="s">
        <v>79</v>
      </c>
      <c r="C313" s="383">
        <v>47</v>
      </c>
      <c r="D313" s="384">
        <v>44700</v>
      </c>
      <c r="E313" s="383" t="s">
        <v>480</v>
      </c>
      <c r="F313" s="383" t="s">
        <v>27</v>
      </c>
      <c r="G313" s="406"/>
      <c r="H313" s="407">
        <v>1271.69</v>
      </c>
      <c r="I313" s="473">
        <f t="shared" si="24"/>
        <v>15636.029999999997</v>
      </c>
      <c r="J313" s="386" t="s">
        <v>306</v>
      </c>
      <c r="K313" s="381">
        <v>6250</v>
      </c>
      <c r="L313" s="74" t="str">
        <f>VLOOKUP($J313,'2 CODIFICATION'!A$5:B$21,2,"FAUX")</f>
        <v>DASSOUTE TEUILLAC CANTINE</v>
      </c>
      <c r="M313" s="74" t="str">
        <f>VLOOKUP($K313,'2 CODIFICATION'!D$8:E$61,2,"FAUX")</f>
        <v>déplacements</v>
      </c>
      <c r="N313" s="45">
        <f t="shared" si="25"/>
        <v>625000</v>
      </c>
      <c r="O313" s="280">
        <f t="shared" si="26"/>
        <v>-1271.69</v>
      </c>
      <c r="P313" s="84">
        <f t="shared" si="27"/>
        <v>2022</v>
      </c>
      <c r="Q313" s="281" t="str">
        <f>VLOOKUP($N313,'2 CODIFICATION'!$G$5:$L$69,3,FALSE)</f>
        <v>Déplacements, missions et réceptions</v>
      </c>
      <c r="R313" s="282" t="str">
        <f>VLOOKUP($N313,'2 CODIFICATION'!$G$5:$L$69,4,FALSE)</f>
        <v>chges</v>
      </c>
      <c r="S313" s="282">
        <f>VLOOKUP($N313,'2 CODIFICATION'!$G$5:$L$69,5,FALSE)</f>
        <v>62</v>
      </c>
      <c r="T313" s="281" t="str">
        <f>VLOOKUP($N313,'2 CODIFICATION'!$G$5:$L$69,6,FALSE)</f>
        <v>Autres services extérieurs</v>
      </c>
    </row>
    <row r="314" spans="1:20" ht="14.5" hidden="1" customHeight="1">
      <c r="A314" s="78" t="s">
        <v>170</v>
      </c>
      <c r="B314" s="374" t="s">
        <v>79</v>
      </c>
      <c r="C314" s="383">
        <v>48</v>
      </c>
      <c r="D314" s="391">
        <v>44701</v>
      </c>
      <c r="E314" s="392" t="s">
        <v>481</v>
      </c>
      <c r="F314" s="392" t="s">
        <v>482</v>
      </c>
      <c r="G314" s="416"/>
      <c r="H314" s="417">
        <v>1329.25</v>
      </c>
      <c r="I314" s="473">
        <f t="shared" si="24"/>
        <v>14306.779999999997</v>
      </c>
      <c r="J314" s="386" t="s">
        <v>198</v>
      </c>
      <c r="K314" s="381">
        <v>6250</v>
      </c>
      <c r="L314" s="74" t="str">
        <f>VLOOKUP($J314,'2 CODIFICATION'!A$5:B$21,2,"FAUX")</f>
        <v>HYGIENE MENSTRUELLE</v>
      </c>
      <c r="M314" s="74" t="str">
        <f>VLOOKUP($K314,'2 CODIFICATION'!D$8:E$61,2,"FAUX")</f>
        <v>déplacements</v>
      </c>
      <c r="N314" s="45">
        <f t="shared" si="25"/>
        <v>625000</v>
      </c>
      <c r="O314" s="280">
        <f t="shared" si="26"/>
        <v>-1329.25</v>
      </c>
      <c r="P314" s="84">
        <f t="shared" si="27"/>
        <v>2022</v>
      </c>
      <c r="Q314" s="281" t="str">
        <f>VLOOKUP($N314,'2 CODIFICATION'!$G$5:$L$69,3,FALSE)</f>
        <v>Déplacements, missions et réceptions</v>
      </c>
      <c r="R314" s="282" t="str">
        <f>VLOOKUP($N314,'2 CODIFICATION'!$G$5:$L$69,4,FALSE)</f>
        <v>chges</v>
      </c>
      <c r="S314" s="282">
        <f>VLOOKUP($N314,'2 CODIFICATION'!$G$5:$L$69,5,FALSE)</f>
        <v>62</v>
      </c>
      <c r="T314" s="281" t="str">
        <f>VLOOKUP($N314,'2 CODIFICATION'!$G$5:$L$69,6,FALSE)</f>
        <v>Autres services extérieurs</v>
      </c>
    </row>
    <row r="315" spans="1:20" ht="14.5" hidden="1" customHeight="1">
      <c r="A315" s="78" t="s">
        <v>170</v>
      </c>
      <c r="B315" s="374" t="s">
        <v>79</v>
      </c>
      <c r="C315" s="383">
        <v>49</v>
      </c>
      <c r="D315" s="384">
        <v>44603</v>
      </c>
      <c r="E315" s="383" t="s">
        <v>483</v>
      </c>
      <c r="F315" s="383" t="s">
        <v>482</v>
      </c>
      <c r="G315" s="371"/>
      <c r="H315" s="393">
        <v>434.9</v>
      </c>
      <c r="I315" s="473">
        <f t="shared" si="24"/>
        <v>13871.879999999997</v>
      </c>
      <c r="J315" s="386" t="s">
        <v>198</v>
      </c>
      <c r="K315" s="381">
        <v>6250</v>
      </c>
      <c r="L315" s="74" t="str">
        <f>VLOOKUP($J315,'2 CODIFICATION'!A$5:B$21,2,"FAUX")</f>
        <v>HYGIENE MENSTRUELLE</v>
      </c>
      <c r="M315" s="74" t="str">
        <f>VLOOKUP($K315,'2 CODIFICATION'!D$8:E$61,2,"FAUX")</f>
        <v>déplacements</v>
      </c>
      <c r="N315" s="45">
        <f t="shared" si="25"/>
        <v>625000</v>
      </c>
      <c r="O315" s="280">
        <f t="shared" si="26"/>
        <v>-434.9</v>
      </c>
      <c r="P315" s="84">
        <f t="shared" si="27"/>
        <v>2022</v>
      </c>
      <c r="Q315" s="281" t="str">
        <f>VLOOKUP($N315,'2 CODIFICATION'!$G$5:$L$69,3,FALSE)</f>
        <v>Déplacements, missions et réceptions</v>
      </c>
      <c r="R315" s="282" t="str">
        <f>VLOOKUP($N315,'2 CODIFICATION'!$G$5:$L$69,4,FALSE)</f>
        <v>chges</v>
      </c>
      <c r="S315" s="282">
        <f>VLOOKUP($N315,'2 CODIFICATION'!$G$5:$L$69,5,FALSE)</f>
        <v>62</v>
      </c>
      <c r="T315" s="281" t="str">
        <f>VLOOKUP($N315,'2 CODIFICATION'!$G$5:$L$69,6,FALSE)</f>
        <v>Autres services extérieurs</v>
      </c>
    </row>
    <row r="316" spans="1:20" ht="14.5" hidden="1" customHeight="1">
      <c r="A316" s="78" t="s">
        <v>170</v>
      </c>
      <c r="B316" s="374" t="s">
        <v>79</v>
      </c>
      <c r="C316" s="383">
        <v>50</v>
      </c>
      <c r="D316" s="369">
        <v>44765</v>
      </c>
      <c r="E316" s="370" t="s">
        <v>565</v>
      </c>
      <c r="F316" s="383"/>
      <c r="G316" s="371"/>
      <c r="H316" s="372">
        <v>275</v>
      </c>
      <c r="I316" s="473">
        <f t="shared" si="24"/>
        <v>13596.879999999997</v>
      </c>
      <c r="J316" s="386" t="s">
        <v>306</v>
      </c>
      <c r="K316" s="381">
        <v>6068</v>
      </c>
      <c r="L316" s="74" t="str">
        <f>VLOOKUP($J316,'2 CODIFICATION'!A$5:B$21,2,"FAUX")</f>
        <v>DASSOUTE TEUILLAC CANTINE</v>
      </c>
      <c r="M316" s="74" t="str">
        <f>VLOOKUP($K316,'2 CODIFICATION'!D$8:E$61,2,"FAUX")</f>
        <v>Autres matières et fournitures</v>
      </c>
      <c r="N316" s="45">
        <f t="shared" si="25"/>
        <v>606800</v>
      </c>
      <c r="O316" s="280">
        <f t="shared" si="26"/>
        <v>-275</v>
      </c>
      <c r="P316" s="84">
        <f t="shared" si="27"/>
        <v>2022</v>
      </c>
      <c r="Q316" s="281" t="str">
        <f>VLOOKUP($N316,'2 CODIFICATION'!$G$5:$L$69,3,FALSE)</f>
        <v>Autres matières et fournitures</v>
      </c>
      <c r="R316" s="282" t="str">
        <f>VLOOKUP($N316,'2 CODIFICATION'!$G$5:$L$69,4,FALSE)</f>
        <v>chges</v>
      </c>
      <c r="S316" s="282">
        <f>VLOOKUP($N316,'2 CODIFICATION'!$G$5:$L$69,5,FALSE)</f>
        <v>60</v>
      </c>
      <c r="T316" s="281" t="str">
        <f>VLOOKUP($N316,'2 CODIFICATION'!$G$5:$L$69,6,FALSE)</f>
        <v>Achat</v>
      </c>
    </row>
    <row r="317" spans="1:20" ht="14.5" hidden="1" customHeight="1">
      <c r="A317" s="78" t="s">
        <v>170</v>
      </c>
      <c r="B317" s="374" t="s">
        <v>79</v>
      </c>
      <c r="C317" s="383">
        <v>51</v>
      </c>
      <c r="D317" s="369">
        <v>44765</v>
      </c>
      <c r="E317" s="370" t="s">
        <v>566</v>
      </c>
      <c r="F317" s="383"/>
      <c r="G317" s="371"/>
      <c r="H317" s="372">
        <v>111.64</v>
      </c>
      <c r="I317" s="473">
        <f t="shared" si="24"/>
        <v>13485.239999999998</v>
      </c>
      <c r="J317" s="386" t="s">
        <v>198</v>
      </c>
      <c r="K317" s="381">
        <v>6230</v>
      </c>
      <c r="L317" s="74" t="str">
        <f>VLOOKUP($J317,'2 CODIFICATION'!A$5:B$21,2,"FAUX")</f>
        <v>HYGIENE MENSTRUELLE</v>
      </c>
      <c r="M317" s="74" t="str">
        <f>VLOOKUP($K317,'2 CODIFICATION'!D$8:E$61,2,"FAUX")</f>
        <v>communication</v>
      </c>
      <c r="N317" s="45">
        <f t="shared" si="25"/>
        <v>623000</v>
      </c>
      <c r="O317" s="280">
        <f t="shared" si="26"/>
        <v>-111.64</v>
      </c>
      <c r="P317" s="84">
        <f t="shared" si="27"/>
        <v>2022</v>
      </c>
      <c r="Q317" s="281" t="str">
        <f>VLOOKUP($N317,'2 CODIFICATION'!$G$5:$L$69,3,FALSE)</f>
        <v>Publicité, publications, Création de site web</v>
      </c>
      <c r="R317" s="282" t="str">
        <f>VLOOKUP($N317,'2 CODIFICATION'!$G$5:$L$69,4,FALSE)</f>
        <v>chges</v>
      </c>
      <c r="S317" s="282">
        <f>VLOOKUP($N317,'2 CODIFICATION'!$G$5:$L$69,5,FALSE)</f>
        <v>62</v>
      </c>
      <c r="T317" s="281" t="str">
        <f>VLOOKUP($N317,'2 CODIFICATION'!$G$5:$L$69,6,FALSE)</f>
        <v>Autres services extérieurs</v>
      </c>
    </row>
    <row r="318" spans="1:20" ht="14.5" hidden="1" customHeight="1">
      <c r="A318" s="78" t="s">
        <v>170</v>
      </c>
      <c r="B318" s="374" t="s">
        <v>79</v>
      </c>
      <c r="C318" s="383">
        <v>52</v>
      </c>
      <c r="D318" s="369">
        <v>44765</v>
      </c>
      <c r="E318" s="370" t="s">
        <v>564</v>
      </c>
      <c r="F318" s="383"/>
      <c r="G318" s="372">
        <v>310</v>
      </c>
      <c r="H318" s="371"/>
      <c r="I318" s="473">
        <f t="shared" si="24"/>
        <v>13795.239999999998</v>
      </c>
      <c r="J318" s="386" t="s">
        <v>273</v>
      </c>
      <c r="K318" s="381">
        <v>7581</v>
      </c>
      <c r="L318" s="74" t="str">
        <f>VLOOKUP($J318,'2 CODIFICATION'!A$5:B$21,2,"FAUX")</f>
        <v>ADMINIST ET FONCT</v>
      </c>
      <c r="M318" s="74" t="str">
        <f>VLOOKUP($K318,'2 CODIFICATION'!D$8:E$61,2,"FAUX")</f>
        <v>Adhésions association</v>
      </c>
      <c r="N318" s="45">
        <f t="shared" si="25"/>
        <v>758100</v>
      </c>
      <c r="O318" s="280">
        <f t="shared" si="26"/>
        <v>310</v>
      </c>
      <c r="P318" s="84">
        <f t="shared" si="27"/>
        <v>2022</v>
      </c>
      <c r="Q318" s="281" t="str">
        <f>VLOOKUP($N318,'2 CODIFICATION'!$G$5:$L$69,3,FALSE)</f>
        <v>Cotisations individuelles et associatives</v>
      </c>
      <c r="R318" s="282" t="str">
        <f>VLOOKUP($N318,'2 CODIFICATION'!$G$5:$L$69,4,FALSE)</f>
        <v>pdts</v>
      </c>
      <c r="S318" s="282">
        <f>VLOOKUP($N318,'2 CODIFICATION'!$G$5:$L$69,5,FALSE)</f>
        <v>75</v>
      </c>
      <c r="T318" s="281" t="str">
        <f>VLOOKUP($N318,'2 CODIFICATION'!$G$5:$L$69,6,FALSE)</f>
        <v>Autres produits de gestion courante</v>
      </c>
    </row>
    <row r="319" spans="1:20" ht="14.5" hidden="1" customHeight="1">
      <c r="A319" s="78" t="s">
        <v>170</v>
      </c>
      <c r="B319" s="374" t="s">
        <v>79</v>
      </c>
      <c r="C319" s="383">
        <v>53</v>
      </c>
      <c r="D319" s="369">
        <v>44757</v>
      </c>
      <c r="E319" s="370" t="s">
        <v>567</v>
      </c>
      <c r="F319" s="383"/>
      <c r="G319" s="372">
        <v>100</v>
      </c>
      <c r="H319" s="371"/>
      <c r="I319" s="473">
        <f t="shared" si="24"/>
        <v>13895.239999999998</v>
      </c>
      <c r="J319" s="386" t="s">
        <v>306</v>
      </c>
      <c r="K319" s="381">
        <v>7771</v>
      </c>
      <c r="L319" s="74" t="str">
        <f>VLOOKUP($J319,'2 CODIFICATION'!A$5:B$21,2,"FAUX")</f>
        <v>DASSOUTE TEUILLAC CANTINE</v>
      </c>
      <c r="M319" s="74" t="str">
        <f>VLOOKUP($K319,'2 CODIFICATION'!D$8:E$61,2,"FAUX")</f>
        <v>Dons et participations à l"association</v>
      </c>
      <c r="N319" s="45">
        <f t="shared" si="25"/>
        <v>777100</v>
      </c>
      <c r="O319" s="280">
        <f t="shared" si="26"/>
        <v>100</v>
      </c>
      <c r="P319" s="84">
        <f t="shared" si="27"/>
        <v>2022</v>
      </c>
      <c r="Q319" s="281" t="str">
        <f>VLOOKUP($N319,'2 CODIFICATION'!$G$5:$L$69,3,FALSE)</f>
        <v>Dons et autres mises à dispositions gratuites</v>
      </c>
      <c r="R319" s="282" t="str">
        <f>VLOOKUP($N319,'2 CODIFICATION'!$G$5:$L$69,4,FALSE)</f>
        <v>pdts</v>
      </c>
      <c r="S319" s="282">
        <f>VLOOKUP($N319,'2 CODIFICATION'!$G$5:$L$69,5,FALSE)</f>
        <v>77</v>
      </c>
      <c r="T319" s="281" t="str">
        <f>VLOOKUP($N319,'2 CODIFICATION'!$G$5:$L$69,6,FALSE)</f>
        <v>Produits exceptionnels</v>
      </c>
    </row>
    <row r="320" spans="1:20" ht="21.5" hidden="1" customHeight="1">
      <c r="A320" s="78" t="s">
        <v>170</v>
      </c>
      <c r="B320" s="374" t="s">
        <v>79</v>
      </c>
      <c r="C320" s="383">
        <v>54</v>
      </c>
      <c r="D320" s="369">
        <v>44753</v>
      </c>
      <c r="E320" s="370" t="s">
        <v>568</v>
      </c>
      <c r="F320" s="383"/>
      <c r="G320" s="372">
        <v>60</v>
      </c>
      <c r="H320" s="371"/>
      <c r="I320" s="473">
        <f t="shared" si="24"/>
        <v>13955.239999999998</v>
      </c>
      <c r="J320" s="386" t="s">
        <v>306</v>
      </c>
      <c r="K320" s="381">
        <v>7771</v>
      </c>
      <c r="L320" s="74" t="str">
        <f>VLOOKUP($J320,'2 CODIFICATION'!A$5:B$21,2,"FAUX")</f>
        <v>DASSOUTE TEUILLAC CANTINE</v>
      </c>
      <c r="M320" s="74" t="str">
        <f>VLOOKUP($K320,'2 CODIFICATION'!D$8:E$61,2,"FAUX")</f>
        <v>Dons et participations à l"association</v>
      </c>
      <c r="N320" s="45">
        <f t="shared" si="25"/>
        <v>777100</v>
      </c>
      <c r="O320" s="280">
        <f t="shared" si="26"/>
        <v>60</v>
      </c>
      <c r="P320" s="84">
        <f t="shared" si="27"/>
        <v>2022</v>
      </c>
      <c r="Q320" s="281" t="str">
        <f>VLOOKUP($N320,'2 CODIFICATION'!$G$5:$L$69,3,FALSE)</f>
        <v>Dons et autres mises à dispositions gratuites</v>
      </c>
      <c r="R320" s="282" t="str">
        <f>VLOOKUP($N320,'2 CODIFICATION'!$G$5:$L$69,4,FALSE)</f>
        <v>pdts</v>
      </c>
      <c r="S320" s="282">
        <f>VLOOKUP($N320,'2 CODIFICATION'!$G$5:$L$69,5,FALSE)</f>
        <v>77</v>
      </c>
      <c r="T320" s="281" t="str">
        <f>VLOOKUP($N320,'2 CODIFICATION'!$G$5:$L$69,6,FALSE)</f>
        <v>Produits exceptionnels</v>
      </c>
    </row>
    <row r="321" spans="1:20" ht="21.5" hidden="1" customHeight="1">
      <c r="A321" s="78" t="s">
        <v>170</v>
      </c>
      <c r="B321" s="374" t="s">
        <v>79</v>
      </c>
      <c r="C321" s="383">
        <v>55</v>
      </c>
      <c r="D321" s="369">
        <v>44749</v>
      </c>
      <c r="E321" s="370" t="s">
        <v>487</v>
      </c>
      <c r="F321" s="383"/>
      <c r="G321" s="394"/>
      <c r="H321" s="372">
        <v>18.399999999999999</v>
      </c>
      <c r="I321" s="473">
        <f t="shared" si="24"/>
        <v>13936.839999999998</v>
      </c>
      <c r="J321" s="386" t="s">
        <v>306</v>
      </c>
      <c r="K321" s="381">
        <v>6270</v>
      </c>
      <c r="L321" s="74" t="str">
        <f>VLOOKUP($J321,'2 CODIFICATION'!A$5:B$21,2,"FAUX")</f>
        <v>DASSOUTE TEUILLAC CANTINE</v>
      </c>
      <c r="M321" s="74" t="str">
        <f>VLOOKUP($K321,'2 CODIFICATION'!D$8:E$61,2,"FAUX")</f>
        <v>Frais de banque</v>
      </c>
      <c r="N321" s="45">
        <f t="shared" si="25"/>
        <v>627000</v>
      </c>
      <c r="O321" s="280">
        <f t="shared" si="26"/>
        <v>-18.399999999999999</v>
      </c>
      <c r="P321" s="84">
        <f t="shared" si="27"/>
        <v>2022</v>
      </c>
      <c r="Q321" s="281" t="str">
        <f>VLOOKUP($N321,'2 CODIFICATION'!$G$5:$L$69,3,FALSE)</f>
        <v>Frais bancaires</v>
      </c>
      <c r="R321" s="282" t="str">
        <f>VLOOKUP($N321,'2 CODIFICATION'!$G$5:$L$69,4,FALSE)</f>
        <v>chges</v>
      </c>
      <c r="S321" s="282">
        <f>VLOOKUP($N321,'2 CODIFICATION'!$G$5:$L$69,5,FALSE)</f>
        <v>62</v>
      </c>
      <c r="T321" s="281" t="str">
        <f>VLOOKUP($N321,'2 CODIFICATION'!$G$5:$L$69,6,FALSE)</f>
        <v>Autres services extérieurs</v>
      </c>
    </row>
    <row r="322" spans="1:20" ht="21.5" hidden="1" customHeight="1">
      <c r="A322" s="78" t="s">
        <v>170</v>
      </c>
      <c r="B322" s="374" t="s">
        <v>79</v>
      </c>
      <c r="C322" s="383">
        <v>56</v>
      </c>
      <c r="D322" s="369">
        <v>44749</v>
      </c>
      <c r="E322" s="370" t="s">
        <v>488</v>
      </c>
      <c r="F322" s="383"/>
      <c r="G322" s="394"/>
      <c r="H322" s="372">
        <v>10756</v>
      </c>
      <c r="I322" s="473">
        <f t="shared" si="24"/>
        <v>3180.8399999999983</v>
      </c>
      <c r="J322" s="386" t="s">
        <v>306</v>
      </c>
      <c r="K322" s="381">
        <v>6110</v>
      </c>
      <c r="L322" s="74" t="str">
        <f>VLOOKUP($J322,'2 CODIFICATION'!A$5:B$21,2,"FAUX")</f>
        <v>DASSOUTE TEUILLAC CANTINE</v>
      </c>
      <c r="M322" s="74" t="str">
        <f>VLOOKUP($K322,'2 CODIFICATION'!D$8:E$61,2,"FAUX")</f>
        <v>Sous traitance projet</v>
      </c>
      <c r="N322" s="45">
        <f t="shared" si="25"/>
        <v>611000</v>
      </c>
      <c r="O322" s="280">
        <f t="shared" si="26"/>
        <v>-10756</v>
      </c>
      <c r="P322" s="84">
        <f t="shared" si="27"/>
        <v>2022</v>
      </c>
      <c r="Q322" s="281" t="str">
        <f>VLOOKUP($N322,'2 CODIFICATION'!$G$5:$L$69,3,FALSE)</f>
        <v xml:space="preserve">Sous-traitance générale </v>
      </c>
      <c r="R322" s="282" t="str">
        <f>VLOOKUP($N322,'2 CODIFICATION'!$G$5:$L$69,4,FALSE)</f>
        <v>chges</v>
      </c>
      <c r="S322" s="282">
        <f>VLOOKUP($N322,'2 CODIFICATION'!$G$5:$L$69,5,FALSE)</f>
        <v>61</v>
      </c>
      <c r="T322" s="281" t="str">
        <f>VLOOKUP($N322,'2 CODIFICATION'!$G$5:$L$69,6,FALSE)</f>
        <v>Services extérieurs</v>
      </c>
    </row>
    <row r="323" spans="1:20" ht="21.5" hidden="1" customHeight="1">
      <c r="A323" s="78" t="s">
        <v>170</v>
      </c>
      <c r="B323" s="374" t="s">
        <v>79</v>
      </c>
      <c r="C323" s="383">
        <v>57</v>
      </c>
      <c r="D323" s="369">
        <v>44749</v>
      </c>
      <c r="E323" s="370" t="s">
        <v>489</v>
      </c>
      <c r="F323" s="383"/>
      <c r="G323" s="372">
        <v>200</v>
      </c>
      <c r="H323" s="371"/>
      <c r="I323" s="473">
        <f t="shared" si="24"/>
        <v>3380.8399999999983</v>
      </c>
      <c r="J323" s="386" t="s">
        <v>306</v>
      </c>
      <c r="K323" s="381">
        <v>7771</v>
      </c>
      <c r="L323" s="74" t="str">
        <f>VLOOKUP($J323,'2 CODIFICATION'!A$5:B$21,2,"FAUX")</f>
        <v>DASSOUTE TEUILLAC CANTINE</v>
      </c>
      <c r="M323" s="74" t="str">
        <f>VLOOKUP($K323,'2 CODIFICATION'!D$8:E$61,2,"FAUX")</f>
        <v>Dons et participations à l"association</v>
      </c>
      <c r="N323" s="45">
        <f t="shared" si="25"/>
        <v>777100</v>
      </c>
      <c r="O323" s="280">
        <f t="shared" si="26"/>
        <v>200</v>
      </c>
      <c r="P323" s="84">
        <f t="shared" si="27"/>
        <v>2022</v>
      </c>
      <c r="Q323" s="281" t="str">
        <f>VLOOKUP($N323,'2 CODIFICATION'!$G$5:$L$69,3,FALSE)</f>
        <v>Dons et autres mises à dispositions gratuites</v>
      </c>
      <c r="R323" s="282" t="str">
        <f>VLOOKUP($N323,'2 CODIFICATION'!$G$5:$L$69,4,FALSE)</f>
        <v>pdts</v>
      </c>
      <c r="S323" s="282">
        <f>VLOOKUP($N323,'2 CODIFICATION'!$G$5:$L$69,5,FALSE)</f>
        <v>77</v>
      </c>
      <c r="T323" s="281" t="str">
        <f>VLOOKUP($N323,'2 CODIFICATION'!$G$5:$L$69,6,FALSE)</f>
        <v>Produits exceptionnels</v>
      </c>
    </row>
    <row r="324" spans="1:20" ht="21.5" hidden="1" customHeight="1">
      <c r="A324" s="78" t="s">
        <v>170</v>
      </c>
      <c r="B324" s="374" t="s">
        <v>79</v>
      </c>
      <c r="C324" s="383">
        <v>58</v>
      </c>
      <c r="D324" s="369">
        <v>44741</v>
      </c>
      <c r="E324" s="370" t="s">
        <v>490</v>
      </c>
      <c r="F324" s="383"/>
      <c r="G324" s="372">
        <v>700</v>
      </c>
      <c r="H324" s="371"/>
      <c r="I324" s="473">
        <f t="shared" si="24"/>
        <v>4080.8399999999983</v>
      </c>
      <c r="J324" s="386" t="s">
        <v>306</v>
      </c>
      <c r="K324" s="381">
        <v>7771</v>
      </c>
      <c r="L324" s="74" t="str">
        <f>VLOOKUP($J324,'2 CODIFICATION'!A$5:B$21,2,"FAUX")</f>
        <v>DASSOUTE TEUILLAC CANTINE</v>
      </c>
      <c r="M324" s="74" t="str">
        <f>VLOOKUP($K324,'2 CODIFICATION'!D$8:E$61,2,"FAUX")</f>
        <v>Dons et participations à l"association</v>
      </c>
      <c r="N324" s="45">
        <f t="shared" si="25"/>
        <v>777100</v>
      </c>
      <c r="O324" s="280">
        <f t="shared" si="26"/>
        <v>700</v>
      </c>
      <c r="P324" s="84">
        <f t="shared" si="27"/>
        <v>2022</v>
      </c>
      <c r="Q324" s="281" t="str">
        <f>VLOOKUP($N324,'2 CODIFICATION'!$G$5:$L$69,3,FALSE)</f>
        <v>Dons et autres mises à dispositions gratuites</v>
      </c>
      <c r="R324" s="282" t="str">
        <f>VLOOKUP($N324,'2 CODIFICATION'!$G$5:$L$69,4,FALSE)</f>
        <v>pdts</v>
      </c>
      <c r="S324" s="282">
        <f>VLOOKUP($N324,'2 CODIFICATION'!$G$5:$L$69,5,FALSE)</f>
        <v>77</v>
      </c>
      <c r="T324" s="281" t="str">
        <f>VLOOKUP($N324,'2 CODIFICATION'!$G$5:$L$69,6,FALSE)</f>
        <v>Produits exceptionnels</v>
      </c>
    </row>
    <row r="325" spans="1:20" ht="21.5" hidden="1" customHeight="1">
      <c r="A325" s="78" t="s">
        <v>170</v>
      </c>
      <c r="B325" s="374" t="s">
        <v>79</v>
      </c>
      <c r="C325" s="383">
        <v>59</v>
      </c>
      <c r="D325" s="369">
        <v>44741</v>
      </c>
      <c r="E325" s="370" t="s">
        <v>491</v>
      </c>
      <c r="F325" s="383"/>
      <c r="G325" s="372">
        <v>300</v>
      </c>
      <c r="H325" s="371"/>
      <c r="I325" s="473">
        <f t="shared" si="24"/>
        <v>4380.8399999999983</v>
      </c>
      <c r="J325" s="386" t="s">
        <v>306</v>
      </c>
      <c r="K325" s="381">
        <v>7771</v>
      </c>
      <c r="L325" s="74" t="str">
        <f>VLOOKUP($J325,'2 CODIFICATION'!A$5:B$21,2,"FAUX")</f>
        <v>DASSOUTE TEUILLAC CANTINE</v>
      </c>
      <c r="M325" s="74" t="str">
        <f>VLOOKUP($K325,'2 CODIFICATION'!D$8:E$61,2,"FAUX")</f>
        <v>Dons et participations à l"association</v>
      </c>
      <c r="N325" s="45">
        <f t="shared" si="25"/>
        <v>777100</v>
      </c>
      <c r="O325" s="280">
        <f t="shared" si="26"/>
        <v>300</v>
      </c>
      <c r="P325" s="84">
        <f t="shared" si="27"/>
        <v>2022</v>
      </c>
      <c r="Q325" s="281" t="str">
        <f>VLOOKUP($N325,'2 CODIFICATION'!$G$5:$L$69,3,FALSE)</f>
        <v>Dons et autres mises à dispositions gratuites</v>
      </c>
      <c r="R325" s="282" t="str">
        <f>VLOOKUP($N325,'2 CODIFICATION'!$G$5:$L$69,4,FALSE)</f>
        <v>pdts</v>
      </c>
      <c r="S325" s="282">
        <f>VLOOKUP($N325,'2 CODIFICATION'!$G$5:$L$69,5,FALSE)</f>
        <v>77</v>
      </c>
      <c r="T325" s="281" t="str">
        <f>VLOOKUP($N325,'2 CODIFICATION'!$G$5:$L$69,6,FALSE)</f>
        <v>Produits exceptionnels</v>
      </c>
    </row>
    <row r="326" spans="1:20" ht="21.5" hidden="1" customHeight="1">
      <c r="A326" s="78" t="s">
        <v>170</v>
      </c>
      <c r="B326" s="374" t="s">
        <v>79</v>
      </c>
      <c r="C326" s="383">
        <v>60</v>
      </c>
      <c r="D326" s="369">
        <v>44740</v>
      </c>
      <c r="E326" s="370" t="s">
        <v>492</v>
      </c>
      <c r="F326" s="383"/>
      <c r="G326" s="372">
        <v>825</v>
      </c>
      <c r="H326" s="371"/>
      <c r="I326" s="473">
        <f t="shared" si="24"/>
        <v>5205.8399999999983</v>
      </c>
      <c r="J326" s="386" t="s">
        <v>306</v>
      </c>
      <c r="K326" s="381">
        <v>7771</v>
      </c>
      <c r="L326" s="74" t="str">
        <f>VLOOKUP($J326,'2 CODIFICATION'!A$5:B$21,2,"FAUX")</f>
        <v>DASSOUTE TEUILLAC CANTINE</v>
      </c>
      <c r="M326" s="74" t="str">
        <f>VLOOKUP($K326,'2 CODIFICATION'!D$8:E$61,2,"FAUX")</f>
        <v>Dons et participations à l"association</v>
      </c>
      <c r="N326" s="45">
        <f t="shared" si="25"/>
        <v>777100</v>
      </c>
      <c r="O326" s="280">
        <f t="shared" si="26"/>
        <v>825</v>
      </c>
      <c r="P326" s="84">
        <f t="shared" si="27"/>
        <v>2022</v>
      </c>
      <c r="Q326" s="281" t="str">
        <f>VLOOKUP($N326,'2 CODIFICATION'!$G$5:$L$69,3,FALSE)</f>
        <v>Dons et autres mises à dispositions gratuites</v>
      </c>
      <c r="R326" s="282" t="str">
        <f>VLOOKUP($N326,'2 CODIFICATION'!$G$5:$L$69,4,FALSE)</f>
        <v>pdts</v>
      </c>
      <c r="S326" s="282">
        <f>VLOOKUP($N326,'2 CODIFICATION'!$G$5:$L$69,5,FALSE)</f>
        <v>77</v>
      </c>
      <c r="T326" s="281" t="str">
        <f>VLOOKUP($N326,'2 CODIFICATION'!$G$5:$L$69,6,FALSE)</f>
        <v>Produits exceptionnels</v>
      </c>
    </row>
    <row r="327" spans="1:20" ht="21.5" hidden="1" customHeight="1">
      <c r="A327" s="78" t="s">
        <v>170</v>
      </c>
      <c r="B327" s="374" t="s">
        <v>79</v>
      </c>
      <c r="C327" s="383">
        <v>61</v>
      </c>
      <c r="D327" s="369">
        <v>44740</v>
      </c>
      <c r="E327" s="370" t="s">
        <v>493</v>
      </c>
      <c r="F327" s="383"/>
      <c r="G327" s="372">
        <v>400</v>
      </c>
      <c r="H327" s="371"/>
      <c r="I327" s="473">
        <f t="shared" si="24"/>
        <v>5605.8399999999983</v>
      </c>
      <c r="J327" s="386" t="s">
        <v>306</v>
      </c>
      <c r="K327" s="381">
        <v>7771</v>
      </c>
      <c r="L327" s="74" t="str">
        <f>VLOOKUP($J327,'2 CODIFICATION'!A$5:B$21,2,"FAUX")</f>
        <v>DASSOUTE TEUILLAC CANTINE</v>
      </c>
      <c r="M327" s="74" t="str">
        <f>VLOOKUP($K327,'2 CODIFICATION'!D$8:E$61,2,"FAUX")</f>
        <v>Dons et participations à l"association</v>
      </c>
      <c r="N327" s="45">
        <f t="shared" si="25"/>
        <v>777100</v>
      </c>
      <c r="O327" s="280">
        <f t="shared" si="26"/>
        <v>400</v>
      </c>
      <c r="P327" s="84">
        <f t="shared" si="27"/>
        <v>2022</v>
      </c>
      <c r="Q327" s="281" t="str">
        <f>VLOOKUP($N327,'2 CODIFICATION'!$G$5:$L$69,3,FALSE)</f>
        <v>Dons et autres mises à dispositions gratuites</v>
      </c>
      <c r="R327" s="282" t="str">
        <f>VLOOKUP($N327,'2 CODIFICATION'!$G$5:$L$69,4,FALSE)</f>
        <v>pdts</v>
      </c>
      <c r="S327" s="282">
        <f>VLOOKUP($N327,'2 CODIFICATION'!$G$5:$L$69,5,FALSE)</f>
        <v>77</v>
      </c>
      <c r="T327" s="281" t="str">
        <f>VLOOKUP($N327,'2 CODIFICATION'!$G$5:$L$69,6,FALSE)</f>
        <v>Produits exceptionnels</v>
      </c>
    </row>
    <row r="328" spans="1:20" ht="21.5" hidden="1" customHeight="1">
      <c r="A328" s="78" t="s">
        <v>170</v>
      </c>
      <c r="B328" s="374" t="s">
        <v>79</v>
      </c>
      <c r="C328" s="383">
        <v>62</v>
      </c>
      <c r="D328" s="369">
        <v>44730</v>
      </c>
      <c r="E328" s="370" t="s">
        <v>494</v>
      </c>
      <c r="F328" s="383"/>
      <c r="G328" s="372">
        <v>300</v>
      </c>
      <c r="H328" s="371"/>
      <c r="I328" s="473">
        <f t="shared" si="24"/>
        <v>5905.8399999999983</v>
      </c>
      <c r="J328" s="386" t="s">
        <v>306</v>
      </c>
      <c r="K328" s="381">
        <v>7771</v>
      </c>
      <c r="L328" s="74" t="str">
        <f>VLOOKUP($J328,'2 CODIFICATION'!A$5:B$21,2,"FAUX")</f>
        <v>DASSOUTE TEUILLAC CANTINE</v>
      </c>
      <c r="M328" s="74" t="str">
        <f>VLOOKUP($K328,'2 CODIFICATION'!D$8:E$61,2,"FAUX")</f>
        <v>Dons et participations à l"association</v>
      </c>
      <c r="N328" s="45">
        <f t="shared" si="25"/>
        <v>777100</v>
      </c>
      <c r="O328" s="280">
        <f t="shared" si="26"/>
        <v>300</v>
      </c>
      <c r="P328" s="84">
        <f t="shared" si="27"/>
        <v>2022</v>
      </c>
      <c r="Q328" s="281" t="str">
        <f>VLOOKUP($N328,'2 CODIFICATION'!$G$5:$L$69,3,FALSE)</f>
        <v>Dons et autres mises à dispositions gratuites</v>
      </c>
      <c r="R328" s="282" t="str">
        <f>VLOOKUP($N328,'2 CODIFICATION'!$G$5:$L$69,4,FALSE)</f>
        <v>pdts</v>
      </c>
      <c r="S328" s="282">
        <f>VLOOKUP($N328,'2 CODIFICATION'!$G$5:$L$69,5,FALSE)</f>
        <v>77</v>
      </c>
      <c r="T328" s="281" t="str">
        <f>VLOOKUP($N328,'2 CODIFICATION'!$G$5:$L$69,6,FALSE)</f>
        <v>Produits exceptionnels</v>
      </c>
    </row>
    <row r="329" spans="1:20" ht="21.5" hidden="1" customHeight="1">
      <c r="A329" s="78" t="s">
        <v>170</v>
      </c>
      <c r="B329" s="374" t="s">
        <v>79</v>
      </c>
      <c r="C329" s="383">
        <v>63</v>
      </c>
      <c r="D329" s="369">
        <v>44730</v>
      </c>
      <c r="E329" s="370" t="s">
        <v>495</v>
      </c>
      <c r="F329" s="383"/>
      <c r="G329" s="372">
        <v>50</v>
      </c>
      <c r="H329" s="371"/>
      <c r="I329" s="473">
        <f t="shared" si="24"/>
        <v>5955.8399999999983</v>
      </c>
      <c r="J329" s="386" t="s">
        <v>306</v>
      </c>
      <c r="K329" s="381">
        <v>7771</v>
      </c>
      <c r="L329" s="74" t="str">
        <f>VLOOKUP($J329,'2 CODIFICATION'!A$5:B$21,2,"FAUX")</f>
        <v>DASSOUTE TEUILLAC CANTINE</v>
      </c>
      <c r="M329" s="74" t="str">
        <f>VLOOKUP($K329,'2 CODIFICATION'!D$8:E$61,2,"FAUX")</f>
        <v>Dons et participations à l"association</v>
      </c>
      <c r="N329" s="45">
        <f t="shared" si="25"/>
        <v>777100</v>
      </c>
      <c r="O329" s="280">
        <f t="shared" si="26"/>
        <v>50</v>
      </c>
      <c r="P329" s="84">
        <f t="shared" si="27"/>
        <v>2022</v>
      </c>
      <c r="Q329" s="281" t="str">
        <f>VLOOKUP($N329,'2 CODIFICATION'!$G$5:$L$69,3,FALSE)</f>
        <v>Dons et autres mises à dispositions gratuites</v>
      </c>
      <c r="R329" s="282" t="str">
        <f>VLOOKUP($N329,'2 CODIFICATION'!$G$5:$L$69,4,FALSE)</f>
        <v>pdts</v>
      </c>
      <c r="S329" s="282">
        <f>VLOOKUP($N329,'2 CODIFICATION'!$G$5:$L$69,5,FALSE)</f>
        <v>77</v>
      </c>
      <c r="T329" s="281" t="str">
        <f>VLOOKUP($N329,'2 CODIFICATION'!$G$5:$L$69,6,FALSE)</f>
        <v>Produits exceptionnels</v>
      </c>
    </row>
    <row r="330" spans="1:20" ht="21.5" hidden="1" customHeight="1">
      <c r="A330" s="78" t="s">
        <v>170</v>
      </c>
      <c r="B330" s="374" t="s">
        <v>79</v>
      </c>
      <c r="C330" s="383">
        <v>64</v>
      </c>
      <c r="D330" s="369">
        <v>44730</v>
      </c>
      <c r="E330" s="370" t="s">
        <v>496</v>
      </c>
      <c r="F330" s="383"/>
      <c r="G330" s="372">
        <v>1000</v>
      </c>
      <c r="H330" s="371"/>
      <c r="I330" s="473">
        <f t="shared" si="24"/>
        <v>6955.8399999999983</v>
      </c>
      <c r="J330" s="386" t="s">
        <v>306</v>
      </c>
      <c r="K330" s="381">
        <v>7771</v>
      </c>
      <c r="L330" s="74" t="str">
        <f>VLOOKUP($J330,'2 CODIFICATION'!A$5:B$21,2,"FAUX")</f>
        <v>DASSOUTE TEUILLAC CANTINE</v>
      </c>
      <c r="M330" s="74" t="str">
        <f>VLOOKUP($K330,'2 CODIFICATION'!D$8:E$61,2,"FAUX")</f>
        <v>Dons et participations à l"association</v>
      </c>
      <c r="N330" s="45">
        <f t="shared" si="25"/>
        <v>777100</v>
      </c>
      <c r="O330" s="280">
        <f t="shared" si="26"/>
        <v>1000</v>
      </c>
      <c r="P330" s="84">
        <f t="shared" si="27"/>
        <v>2022</v>
      </c>
      <c r="Q330" s="281" t="str">
        <f>VLOOKUP($N330,'2 CODIFICATION'!$G$5:$L$69,3,FALSE)</f>
        <v>Dons et autres mises à dispositions gratuites</v>
      </c>
      <c r="R330" s="282" t="str">
        <f>VLOOKUP($N330,'2 CODIFICATION'!$G$5:$L$69,4,FALSE)</f>
        <v>pdts</v>
      </c>
      <c r="S330" s="282">
        <f>VLOOKUP($N330,'2 CODIFICATION'!$G$5:$L$69,5,FALSE)</f>
        <v>77</v>
      </c>
      <c r="T330" s="281" t="str">
        <f>VLOOKUP($N330,'2 CODIFICATION'!$G$5:$L$69,6,FALSE)</f>
        <v>Produits exceptionnels</v>
      </c>
    </row>
    <row r="331" spans="1:20" ht="21.5" hidden="1" customHeight="1">
      <c r="A331" s="78" t="s">
        <v>170</v>
      </c>
      <c r="B331" s="374" t="s">
        <v>79</v>
      </c>
      <c r="C331" s="383">
        <v>65</v>
      </c>
      <c r="D331" s="369">
        <v>44727</v>
      </c>
      <c r="E331" s="370" t="s">
        <v>497</v>
      </c>
      <c r="F331" s="383"/>
      <c r="G331" s="372">
        <v>40</v>
      </c>
      <c r="H331" s="371"/>
      <c r="I331" s="473">
        <f t="shared" si="24"/>
        <v>6995.8399999999983</v>
      </c>
      <c r="J331" s="386" t="s">
        <v>306</v>
      </c>
      <c r="K331" s="381">
        <v>7771</v>
      </c>
      <c r="L331" s="74" t="str">
        <f>VLOOKUP($J331,'2 CODIFICATION'!A$5:B$21,2,"FAUX")</f>
        <v>DASSOUTE TEUILLAC CANTINE</v>
      </c>
      <c r="M331" s="74" t="str">
        <f>VLOOKUP($K331,'2 CODIFICATION'!D$8:E$61,2,"FAUX")</f>
        <v>Dons et participations à l"association</v>
      </c>
      <c r="N331" s="45">
        <f t="shared" si="25"/>
        <v>777100</v>
      </c>
      <c r="O331" s="280">
        <f t="shared" si="26"/>
        <v>40</v>
      </c>
      <c r="P331" s="84">
        <f t="shared" si="27"/>
        <v>2022</v>
      </c>
      <c r="Q331" s="281" t="str">
        <f>VLOOKUP($N331,'2 CODIFICATION'!$G$5:$L$69,3,FALSE)</f>
        <v>Dons et autres mises à dispositions gratuites</v>
      </c>
      <c r="R331" s="282" t="str">
        <f>VLOOKUP($N331,'2 CODIFICATION'!$G$5:$L$69,4,FALSE)</f>
        <v>pdts</v>
      </c>
      <c r="S331" s="282">
        <f>VLOOKUP($N331,'2 CODIFICATION'!$G$5:$L$69,5,FALSE)</f>
        <v>77</v>
      </c>
      <c r="T331" s="281" t="str">
        <f>VLOOKUP($N331,'2 CODIFICATION'!$G$5:$L$69,6,FALSE)</f>
        <v>Produits exceptionnels</v>
      </c>
    </row>
    <row r="332" spans="1:20" ht="21.5" hidden="1" customHeight="1">
      <c r="A332" s="78" t="s">
        <v>170</v>
      </c>
      <c r="B332" s="374" t="s">
        <v>79</v>
      </c>
      <c r="C332" s="383">
        <v>66</v>
      </c>
      <c r="D332" s="369">
        <v>44726</v>
      </c>
      <c r="E332" s="370" t="s">
        <v>498</v>
      </c>
      <c r="F332" s="383"/>
      <c r="G332" s="372">
        <v>50</v>
      </c>
      <c r="H332" s="371"/>
      <c r="I332" s="473">
        <f t="shared" si="24"/>
        <v>7045.8399999999983</v>
      </c>
      <c r="J332" s="386" t="s">
        <v>306</v>
      </c>
      <c r="K332" s="381">
        <v>7771</v>
      </c>
      <c r="L332" s="74" t="str">
        <f>VLOOKUP($J332,'2 CODIFICATION'!A$5:B$21,2,"FAUX")</f>
        <v>DASSOUTE TEUILLAC CANTINE</v>
      </c>
      <c r="M332" s="74" t="str">
        <f>VLOOKUP($K332,'2 CODIFICATION'!D$8:E$61,2,"FAUX")</f>
        <v>Dons et participations à l"association</v>
      </c>
      <c r="N332" s="45">
        <f t="shared" si="25"/>
        <v>777100</v>
      </c>
      <c r="O332" s="280">
        <f t="shared" si="26"/>
        <v>50</v>
      </c>
      <c r="P332" s="84">
        <f t="shared" si="27"/>
        <v>2022</v>
      </c>
      <c r="Q332" s="281" t="str">
        <f>VLOOKUP($N332,'2 CODIFICATION'!$G$5:$L$69,3,FALSE)</f>
        <v>Dons et autres mises à dispositions gratuites</v>
      </c>
      <c r="R332" s="282" t="str">
        <f>VLOOKUP($N332,'2 CODIFICATION'!$G$5:$L$69,4,FALSE)</f>
        <v>pdts</v>
      </c>
      <c r="S332" s="282">
        <f>VLOOKUP($N332,'2 CODIFICATION'!$G$5:$L$69,5,FALSE)</f>
        <v>77</v>
      </c>
      <c r="T332" s="281" t="str">
        <f>VLOOKUP($N332,'2 CODIFICATION'!$G$5:$L$69,6,FALSE)</f>
        <v>Produits exceptionnels</v>
      </c>
    </row>
    <row r="333" spans="1:20" ht="21.5" hidden="1" customHeight="1">
      <c r="A333" s="78" t="s">
        <v>170</v>
      </c>
      <c r="B333" s="374" t="s">
        <v>79</v>
      </c>
      <c r="C333" s="383">
        <v>67</v>
      </c>
      <c r="D333" s="369">
        <v>44726</v>
      </c>
      <c r="E333" s="370" t="s">
        <v>499</v>
      </c>
      <c r="F333" s="383"/>
      <c r="G333" s="372">
        <v>100</v>
      </c>
      <c r="H333" s="371"/>
      <c r="I333" s="473">
        <f t="shared" si="24"/>
        <v>7145.8399999999983</v>
      </c>
      <c r="J333" s="386" t="s">
        <v>306</v>
      </c>
      <c r="K333" s="381">
        <v>7771</v>
      </c>
      <c r="L333" s="74" t="str">
        <f>VLOOKUP($J333,'2 CODIFICATION'!A$5:B$21,2,"FAUX")</f>
        <v>DASSOUTE TEUILLAC CANTINE</v>
      </c>
      <c r="M333" s="74" t="str">
        <f>VLOOKUP($K333,'2 CODIFICATION'!D$8:E$61,2,"FAUX")</f>
        <v>Dons et participations à l"association</v>
      </c>
      <c r="N333" s="45">
        <f t="shared" ref="N333:N343" si="29">+K333*100</f>
        <v>777100</v>
      </c>
      <c r="O333" s="280">
        <f t="shared" ref="O333:O343" si="30">G333-H333</f>
        <v>100</v>
      </c>
      <c r="P333" s="84">
        <f t="shared" ref="P333:P343" si="31">YEAR(D333)</f>
        <v>2022</v>
      </c>
      <c r="Q333" s="281" t="str">
        <f>VLOOKUP($N333,'2 CODIFICATION'!$G$5:$L$69,3,FALSE)</f>
        <v>Dons et autres mises à dispositions gratuites</v>
      </c>
      <c r="R333" s="282" t="str">
        <f>VLOOKUP($N333,'2 CODIFICATION'!$G$5:$L$69,4,FALSE)</f>
        <v>pdts</v>
      </c>
      <c r="S333" s="282">
        <f>VLOOKUP($N333,'2 CODIFICATION'!$G$5:$L$69,5,FALSE)</f>
        <v>77</v>
      </c>
      <c r="T333" s="281" t="str">
        <f>VLOOKUP($N333,'2 CODIFICATION'!$G$5:$L$69,6,FALSE)</f>
        <v>Produits exceptionnels</v>
      </c>
    </row>
    <row r="334" spans="1:20" ht="21.5" hidden="1" customHeight="1">
      <c r="A334" s="78" t="s">
        <v>170</v>
      </c>
      <c r="B334" s="374" t="s">
        <v>79</v>
      </c>
      <c r="C334" s="383">
        <v>68</v>
      </c>
      <c r="D334" s="369">
        <v>44726</v>
      </c>
      <c r="E334" s="370" t="s">
        <v>500</v>
      </c>
      <c r="F334" s="383"/>
      <c r="G334" s="372">
        <v>150</v>
      </c>
      <c r="H334" s="371"/>
      <c r="I334" s="473">
        <f t="shared" ref="I334:I397" si="32">G334+I333-H334</f>
        <v>7295.8399999999983</v>
      </c>
      <c r="J334" s="386" t="s">
        <v>306</v>
      </c>
      <c r="K334" s="381">
        <v>7771</v>
      </c>
      <c r="L334" s="74" t="str">
        <f>VLOOKUP($J334,'2 CODIFICATION'!A$5:B$21,2,"FAUX")</f>
        <v>DASSOUTE TEUILLAC CANTINE</v>
      </c>
      <c r="M334" s="74" t="str">
        <f>VLOOKUP($K334,'2 CODIFICATION'!D$8:E$61,2,"FAUX")</f>
        <v>Dons et participations à l"association</v>
      </c>
      <c r="N334" s="45">
        <f t="shared" si="29"/>
        <v>777100</v>
      </c>
      <c r="O334" s="280">
        <f t="shared" si="30"/>
        <v>150</v>
      </c>
      <c r="P334" s="84">
        <f t="shared" si="31"/>
        <v>2022</v>
      </c>
      <c r="Q334" s="281" t="str">
        <f>VLOOKUP($N334,'2 CODIFICATION'!$G$5:$L$69,3,FALSE)</f>
        <v>Dons et autres mises à dispositions gratuites</v>
      </c>
      <c r="R334" s="282" t="str">
        <f>VLOOKUP($N334,'2 CODIFICATION'!$G$5:$L$69,4,FALSE)</f>
        <v>pdts</v>
      </c>
      <c r="S334" s="282">
        <f>VLOOKUP($N334,'2 CODIFICATION'!$G$5:$L$69,5,FALSE)</f>
        <v>77</v>
      </c>
      <c r="T334" s="281" t="str">
        <f>VLOOKUP($N334,'2 CODIFICATION'!$G$5:$L$69,6,FALSE)</f>
        <v>Produits exceptionnels</v>
      </c>
    </row>
    <row r="335" spans="1:20" ht="21.5" hidden="1" customHeight="1">
      <c r="A335" s="78" t="s">
        <v>170</v>
      </c>
      <c r="B335" s="374" t="s">
        <v>79</v>
      </c>
      <c r="C335" s="383">
        <v>69</v>
      </c>
      <c r="D335" s="369">
        <v>44719</v>
      </c>
      <c r="E335" s="370" t="s">
        <v>501</v>
      </c>
      <c r="F335" s="383"/>
      <c r="G335" s="372">
        <v>50</v>
      </c>
      <c r="H335" s="371"/>
      <c r="I335" s="473">
        <f t="shared" si="32"/>
        <v>7345.8399999999983</v>
      </c>
      <c r="J335" s="386" t="s">
        <v>306</v>
      </c>
      <c r="K335" s="381">
        <v>7771</v>
      </c>
      <c r="L335" s="74" t="str">
        <f>VLOOKUP($J335,'2 CODIFICATION'!A$5:B$21,2,"FAUX")</f>
        <v>DASSOUTE TEUILLAC CANTINE</v>
      </c>
      <c r="M335" s="74" t="str">
        <f>VLOOKUP($K335,'2 CODIFICATION'!D$8:E$61,2,"FAUX")</f>
        <v>Dons et participations à l"association</v>
      </c>
      <c r="N335" s="45">
        <f t="shared" si="29"/>
        <v>777100</v>
      </c>
      <c r="O335" s="280">
        <f t="shared" si="30"/>
        <v>50</v>
      </c>
      <c r="P335" s="84">
        <f t="shared" si="31"/>
        <v>2022</v>
      </c>
      <c r="Q335" s="281" t="str">
        <f>VLOOKUP($N335,'2 CODIFICATION'!$G$5:$L$69,3,FALSE)</f>
        <v>Dons et autres mises à dispositions gratuites</v>
      </c>
      <c r="R335" s="282" t="str">
        <f>VLOOKUP($N335,'2 CODIFICATION'!$G$5:$L$69,4,FALSE)</f>
        <v>pdts</v>
      </c>
      <c r="S335" s="282">
        <f>VLOOKUP($N335,'2 CODIFICATION'!$G$5:$L$69,5,FALSE)</f>
        <v>77</v>
      </c>
      <c r="T335" s="281" t="str">
        <f>VLOOKUP($N335,'2 CODIFICATION'!$G$5:$L$69,6,FALSE)</f>
        <v>Produits exceptionnels</v>
      </c>
    </row>
    <row r="336" spans="1:20" ht="21.5" hidden="1" customHeight="1">
      <c r="A336" s="78" t="s">
        <v>170</v>
      </c>
      <c r="B336" s="374" t="s">
        <v>79</v>
      </c>
      <c r="C336" s="383">
        <v>70</v>
      </c>
      <c r="D336" s="369">
        <v>44713</v>
      </c>
      <c r="E336" s="370" t="s">
        <v>502</v>
      </c>
      <c r="F336" s="383"/>
      <c r="G336" s="372">
        <v>50</v>
      </c>
      <c r="H336" s="371"/>
      <c r="I336" s="473">
        <f t="shared" si="32"/>
        <v>7395.8399999999983</v>
      </c>
      <c r="J336" s="386" t="s">
        <v>306</v>
      </c>
      <c r="K336" s="381">
        <v>7771</v>
      </c>
      <c r="L336" s="74" t="str">
        <f>VLOOKUP($J336,'2 CODIFICATION'!A$5:B$21,2,"FAUX")</f>
        <v>DASSOUTE TEUILLAC CANTINE</v>
      </c>
      <c r="M336" s="74" t="str">
        <f>VLOOKUP($K336,'2 CODIFICATION'!D$8:E$61,2,"FAUX")</f>
        <v>Dons et participations à l"association</v>
      </c>
      <c r="N336" s="45">
        <f t="shared" si="29"/>
        <v>777100</v>
      </c>
      <c r="O336" s="280">
        <f t="shared" si="30"/>
        <v>50</v>
      </c>
      <c r="P336" s="84">
        <f t="shared" si="31"/>
        <v>2022</v>
      </c>
      <c r="Q336" s="281" t="str">
        <f>VLOOKUP($N336,'2 CODIFICATION'!$G$5:$L$69,3,FALSE)</f>
        <v>Dons et autres mises à dispositions gratuites</v>
      </c>
      <c r="R336" s="282" t="str">
        <f>VLOOKUP($N336,'2 CODIFICATION'!$G$5:$L$69,4,FALSE)</f>
        <v>pdts</v>
      </c>
      <c r="S336" s="282">
        <f>VLOOKUP($N336,'2 CODIFICATION'!$G$5:$L$69,5,FALSE)</f>
        <v>77</v>
      </c>
      <c r="T336" s="281" t="str">
        <f>VLOOKUP($N336,'2 CODIFICATION'!$G$5:$L$69,6,FALSE)</f>
        <v>Produits exceptionnels</v>
      </c>
    </row>
    <row r="337" spans="1:20" ht="21.5" hidden="1" customHeight="1">
      <c r="A337" s="78" t="s">
        <v>170</v>
      </c>
      <c r="B337" s="374" t="s">
        <v>79</v>
      </c>
      <c r="C337" s="383">
        <v>71</v>
      </c>
      <c r="D337" s="369">
        <v>44713</v>
      </c>
      <c r="E337" s="370" t="s">
        <v>503</v>
      </c>
      <c r="F337" s="383"/>
      <c r="G337" s="372">
        <v>1500</v>
      </c>
      <c r="H337" s="371"/>
      <c r="I337" s="473">
        <f t="shared" si="32"/>
        <v>8895.8399999999983</v>
      </c>
      <c r="J337" s="386" t="s">
        <v>306</v>
      </c>
      <c r="K337" s="381">
        <v>7771</v>
      </c>
      <c r="L337" s="74" t="str">
        <f>VLOOKUP($J337,'2 CODIFICATION'!A$5:B$21,2,"FAUX")</f>
        <v>DASSOUTE TEUILLAC CANTINE</v>
      </c>
      <c r="M337" s="74" t="str">
        <f>VLOOKUP($K337,'2 CODIFICATION'!D$8:E$61,2,"FAUX")</f>
        <v>Dons et participations à l"association</v>
      </c>
      <c r="N337" s="45">
        <f t="shared" si="29"/>
        <v>777100</v>
      </c>
      <c r="O337" s="280">
        <f t="shared" si="30"/>
        <v>1500</v>
      </c>
      <c r="P337" s="84">
        <f t="shared" si="31"/>
        <v>2022</v>
      </c>
      <c r="Q337" s="281" t="str">
        <f>VLOOKUP($N337,'2 CODIFICATION'!$G$5:$L$69,3,FALSE)</f>
        <v>Dons et autres mises à dispositions gratuites</v>
      </c>
      <c r="R337" s="282" t="str">
        <f>VLOOKUP($N337,'2 CODIFICATION'!$G$5:$L$69,4,FALSE)</f>
        <v>pdts</v>
      </c>
      <c r="S337" s="282">
        <f>VLOOKUP($N337,'2 CODIFICATION'!$G$5:$L$69,5,FALSE)</f>
        <v>77</v>
      </c>
      <c r="T337" s="281" t="str">
        <f>VLOOKUP($N337,'2 CODIFICATION'!$G$5:$L$69,6,FALSE)</f>
        <v>Produits exceptionnels</v>
      </c>
    </row>
    <row r="338" spans="1:20" ht="21.5" hidden="1" customHeight="1">
      <c r="A338" s="78" t="s">
        <v>170</v>
      </c>
      <c r="B338" s="374" t="s">
        <v>79</v>
      </c>
      <c r="C338" s="383">
        <v>72</v>
      </c>
      <c r="D338" s="369">
        <v>44713</v>
      </c>
      <c r="E338" s="370" t="s">
        <v>504</v>
      </c>
      <c r="F338" s="383"/>
      <c r="G338" s="407">
        <v>150</v>
      </c>
      <c r="H338" s="371"/>
      <c r="I338" s="473">
        <f t="shared" si="32"/>
        <v>9045.8399999999983</v>
      </c>
      <c r="J338" s="386" t="s">
        <v>306</v>
      </c>
      <c r="K338" s="381">
        <v>7771</v>
      </c>
      <c r="L338" s="74" t="str">
        <f>VLOOKUP($J338,'2 CODIFICATION'!A$5:B$21,2,"FAUX")</f>
        <v>DASSOUTE TEUILLAC CANTINE</v>
      </c>
      <c r="M338" s="74" t="str">
        <f>VLOOKUP($K338,'2 CODIFICATION'!D$8:E$61,2,"FAUX")</f>
        <v>Dons et participations à l"association</v>
      </c>
      <c r="N338" s="45">
        <f t="shared" si="29"/>
        <v>777100</v>
      </c>
      <c r="O338" s="280">
        <f t="shared" si="30"/>
        <v>150</v>
      </c>
      <c r="P338" s="84">
        <f t="shared" si="31"/>
        <v>2022</v>
      </c>
      <c r="Q338" s="281" t="str">
        <f>VLOOKUP($N338,'2 CODIFICATION'!$G$5:$L$69,3,FALSE)</f>
        <v>Dons et autres mises à dispositions gratuites</v>
      </c>
      <c r="R338" s="282" t="str">
        <f>VLOOKUP($N338,'2 CODIFICATION'!$G$5:$L$69,4,FALSE)</f>
        <v>pdts</v>
      </c>
      <c r="S338" s="282">
        <f>VLOOKUP($N338,'2 CODIFICATION'!$G$5:$L$69,5,FALSE)</f>
        <v>77</v>
      </c>
      <c r="T338" s="281" t="str">
        <f>VLOOKUP($N338,'2 CODIFICATION'!$G$5:$L$69,6,FALSE)</f>
        <v>Produits exceptionnels</v>
      </c>
    </row>
    <row r="339" spans="1:20" ht="21.5" hidden="1" customHeight="1">
      <c r="A339" s="78" t="s">
        <v>170</v>
      </c>
      <c r="B339" s="374" t="s">
        <v>79</v>
      </c>
      <c r="C339" s="383">
        <v>73</v>
      </c>
      <c r="D339" s="369">
        <v>44769</v>
      </c>
      <c r="E339" s="370" t="s">
        <v>505</v>
      </c>
      <c r="F339" s="371" t="s">
        <v>506</v>
      </c>
      <c r="G339" s="372">
        <v>100</v>
      </c>
      <c r="H339" s="406"/>
      <c r="I339" s="473">
        <f t="shared" si="32"/>
        <v>9145.8399999999983</v>
      </c>
      <c r="J339" s="386" t="s">
        <v>306</v>
      </c>
      <c r="K339" s="381">
        <v>7771</v>
      </c>
      <c r="L339" s="74" t="str">
        <f>VLOOKUP($J339,'2 CODIFICATION'!A$5:B$21,2,"FAUX")</f>
        <v>DASSOUTE TEUILLAC CANTINE</v>
      </c>
      <c r="M339" s="74" t="str">
        <f>VLOOKUP($K339,'2 CODIFICATION'!D$8:E$61,2,"FAUX")</f>
        <v>Dons et participations à l"association</v>
      </c>
      <c r="N339" s="45">
        <f t="shared" si="29"/>
        <v>777100</v>
      </c>
      <c r="O339" s="280">
        <f t="shared" si="30"/>
        <v>100</v>
      </c>
      <c r="P339" s="84">
        <f t="shared" si="31"/>
        <v>2022</v>
      </c>
      <c r="Q339" s="281" t="str">
        <f>VLOOKUP($N339,'2 CODIFICATION'!$G$5:$L$69,3,FALSE)</f>
        <v>Dons et autres mises à dispositions gratuites</v>
      </c>
      <c r="R339" s="282" t="str">
        <f>VLOOKUP($N339,'2 CODIFICATION'!$G$5:$L$69,4,FALSE)</f>
        <v>pdts</v>
      </c>
      <c r="S339" s="282">
        <f>VLOOKUP($N339,'2 CODIFICATION'!$G$5:$L$69,5,FALSE)</f>
        <v>77</v>
      </c>
      <c r="T339" s="281" t="str">
        <f>VLOOKUP($N339,'2 CODIFICATION'!$G$5:$L$69,6,FALSE)</f>
        <v>Produits exceptionnels</v>
      </c>
    </row>
    <row r="340" spans="1:20" ht="21.5" hidden="1" customHeight="1">
      <c r="A340" s="78" t="s">
        <v>170</v>
      </c>
      <c r="B340" s="374" t="s">
        <v>79</v>
      </c>
      <c r="C340" s="383">
        <v>74</v>
      </c>
      <c r="D340" s="369">
        <v>44777</v>
      </c>
      <c r="E340" s="370" t="s">
        <v>507</v>
      </c>
      <c r="F340" s="371" t="s">
        <v>506</v>
      </c>
      <c r="G340" s="371"/>
      <c r="H340" s="407">
        <v>8310</v>
      </c>
      <c r="I340" s="473">
        <f t="shared" si="32"/>
        <v>835.83999999999833</v>
      </c>
      <c r="J340" s="386" t="s">
        <v>306</v>
      </c>
      <c r="K340" s="381">
        <v>6110</v>
      </c>
      <c r="L340" s="74" t="str">
        <f>VLOOKUP($J340,'2 CODIFICATION'!A$5:B$21,2,"FAUX")</f>
        <v>DASSOUTE TEUILLAC CANTINE</v>
      </c>
      <c r="M340" s="74" t="str">
        <f>VLOOKUP($K340,'2 CODIFICATION'!D$8:E$61,2,"FAUX")</f>
        <v>Sous traitance projet</v>
      </c>
      <c r="N340" s="45">
        <f t="shared" si="29"/>
        <v>611000</v>
      </c>
      <c r="O340" s="280">
        <f t="shared" si="30"/>
        <v>-8310</v>
      </c>
      <c r="P340" s="84">
        <f t="shared" si="31"/>
        <v>2022</v>
      </c>
      <c r="Q340" s="281" t="str">
        <f>VLOOKUP($N340,'2 CODIFICATION'!$G$5:$L$69,3,FALSE)</f>
        <v xml:space="preserve">Sous-traitance générale </v>
      </c>
      <c r="R340" s="282" t="str">
        <f>VLOOKUP($N340,'2 CODIFICATION'!$G$5:$L$69,4,FALSE)</f>
        <v>chges</v>
      </c>
      <c r="S340" s="282">
        <f>VLOOKUP($N340,'2 CODIFICATION'!$G$5:$L$69,5,FALSE)</f>
        <v>61</v>
      </c>
      <c r="T340" s="281" t="str">
        <f>VLOOKUP($N340,'2 CODIFICATION'!$G$5:$L$69,6,FALSE)</f>
        <v>Services extérieurs</v>
      </c>
    </row>
    <row r="341" spans="1:20" ht="21.5" hidden="1" customHeight="1">
      <c r="A341" s="78" t="s">
        <v>170</v>
      </c>
      <c r="B341" s="374" t="s">
        <v>79</v>
      </c>
      <c r="C341" s="383">
        <v>75</v>
      </c>
      <c r="D341" s="369">
        <v>44777</v>
      </c>
      <c r="E341" s="370" t="s">
        <v>508</v>
      </c>
      <c r="F341" s="371"/>
      <c r="G341" s="406"/>
      <c r="H341" s="407">
        <v>18.399999999999999</v>
      </c>
      <c r="I341" s="473">
        <f t="shared" si="32"/>
        <v>817.43999999999835</v>
      </c>
      <c r="J341" s="386" t="s">
        <v>306</v>
      </c>
      <c r="K341" s="381">
        <v>6270</v>
      </c>
      <c r="L341" s="74" t="str">
        <f>VLOOKUP($J341,'2 CODIFICATION'!A$5:B$21,2,"FAUX")</f>
        <v>DASSOUTE TEUILLAC CANTINE</v>
      </c>
      <c r="M341" s="74" t="str">
        <f>VLOOKUP($K341,'2 CODIFICATION'!D$8:E$61,2,"FAUX")</f>
        <v>Frais de banque</v>
      </c>
      <c r="N341" s="45">
        <f t="shared" si="29"/>
        <v>627000</v>
      </c>
      <c r="O341" s="280">
        <f t="shared" si="30"/>
        <v>-18.399999999999999</v>
      </c>
      <c r="P341" s="84">
        <f t="shared" si="31"/>
        <v>2022</v>
      </c>
      <c r="Q341" s="281" t="str">
        <f>VLOOKUP($N341,'2 CODIFICATION'!$G$5:$L$69,3,FALSE)</f>
        <v>Frais bancaires</v>
      </c>
      <c r="R341" s="282" t="str">
        <f>VLOOKUP($N341,'2 CODIFICATION'!$G$5:$L$69,4,FALSE)</f>
        <v>chges</v>
      </c>
      <c r="S341" s="282">
        <f>VLOOKUP($N341,'2 CODIFICATION'!$G$5:$L$69,5,FALSE)</f>
        <v>62</v>
      </c>
      <c r="T341" s="281" t="str">
        <f>VLOOKUP($N341,'2 CODIFICATION'!$G$5:$L$69,6,FALSE)</f>
        <v>Autres services extérieurs</v>
      </c>
    </row>
    <row r="342" spans="1:20" ht="41.5" hidden="1" customHeight="1">
      <c r="A342" s="78" t="s">
        <v>170</v>
      </c>
      <c r="B342" s="374" t="s">
        <v>79</v>
      </c>
      <c r="C342" s="383">
        <v>76</v>
      </c>
      <c r="D342" s="369">
        <v>44795</v>
      </c>
      <c r="E342" s="370" t="s">
        <v>509</v>
      </c>
      <c r="F342" s="371"/>
      <c r="G342" s="372">
        <v>667</v>
      </c>
      <c r="H342" s="406"/>
      <c r="I342" s="473">
        <f t="shared" si="32"/>
        <v>1484.4399999999982</v>
      </c>
      <c r="J342" s="386" t="s">
        <v>198</v>
      </c>
      <c r="K342" s="381">
        <v>7410</v>
      </c>
      <c r="L342" s="74" t="str">
        <f>VLOOKUP($J342,'2 CODIFICATION'!A$5:B$21,2,"FAUX")</f>
        <v>HYGIENE MENSTRUELLE</v>
      </c>
      <c r="M342" s="74" t="str">
        <f>VLOOKUP($K342,'2 CODIFICATION'!D$8:E$61,2,"FAUX")</f>
        <v>Subventions Région Nouvelle Aquitaine</v>
      </c>
      <c r="N342" s="45">
        <f t="shared" si="29"/>
        <v>741000</v>
      </c>
      <c r="O342" s="280">
        <f t="shared" si="30"/>
        <v>667</v>
      </c>
      <c r="P342" s="84">
        <f t="shared" si="31"/>
        <v>2022</v>
      </c>
      <c r="Q342" s="281" t="str">
        <f>VLOOKUP($N342,'2 CODIFICATION'!$G$5:$L$69,3,FALSE)</f>
        <v>Région Nouvelle-Aquitaine</v>
      </c>
      <c r="R342" s="282" t="str">
        <f>VLOOKUP($N342,'2 CODIFICATION'!$G$5:$L$69,4,FALSE)</f>
        <v>pdts</v>
      </c>
      <c r="S342" s="282">
        <f>VLOOKUP($N342,'2 CODIFICATION'!$G$5:$L$69,5,FALSE)</f>
        <v>74</v>
      </c>
      <c r="T342" s="281" t="str">
        <f>VLOOKUP($N342,'2 CODIFICATION'!$G$5:$L$69,6,FALSE)</f>
        <v>Subventions d'exploitation</v>
      </c>
    </row>
    <row r="343" spans="1:20" ht="41.5" hidden="1" customHeight="1">
      <c r="A343" s="78" t="s">
        <v>170</v>
      </c>
      <c r="B343" s="374" t="s">
        <v>79</v>
      </c>
      <c r="C343" s="383">
        <v>77</v>
      </c>
      <c r="D343" s="369">
        <v>44795</v>
      </c>
      <c r="E343" s="370" t="s">
        <v>510</v>
      </c>
      <c r="F343" s="371"/>
      <c r="G343" s="372">
        <v>3333</v>
      </c>
      <c r="H343" s="406"/>
      <c r="I343" s="473">
        <f t="shared" si="32"/>
        <v>4817.4399999999987</v>
      </c>
      <c r="J343" s="386" t="s">
        <v>198</v>
      </c>
      <c r="K343" s="381">
        <v>7410</v>
      </c>
      <c r="L343" s="74" t="str">
        <f>VLOOKUP($J343,'2 CODIFICATION'!A$5:B$21,2,"FAUX")</f>
        <v>HYGIENE MENSTRUELLE</v>
      </c>
      <c r="M343" s="74" t="str">
        <f>VLOOKUP($K343,'2 CODIFICATION'!D$8:E$61,2,"FAUX")</f>
        <v>Subventions Région Nouvelle Aquitaine</v>
      </c>
      <c r="N343" s="45">
        <f t="shared" si="29"/>
        <v>741000</v>
      </c>
      <c r="O343" s="280">
        <f t="shared" si="30"/>
        <v>3333</v>
      </c>
      <c r="P343" s="84">
        <f t="shared" si="31"/>
        <v>2022</v>
      </c>
      <c r="Q343" s="281" t="str">
        <f>VLOOKUP($N343,'2 CODIFICATION'!$G$5:$L$69,3,FALSE)</f>
        <v>Région Nouvelle-Aquitaine</v>
      </c>
      <c r="R343" s="282" t="str">
        <f>VLOOKUP($N343,'2 CODIFICATION'!$G$5:$L$69,4,FALSE)</f>
        <v>pdts</v>
      </c>
      <c r="S343" s="282">
        <f>VLOOKUP($N343,'2 CODIFICATION'!$G$5:$L$69,5,FALSE)</f>
        <v>74</v>
      </c>
      <c r="T343" s="281" t="str">
        <f>VLOOKUP($N343,'2 CODIFICATION'!$G$5:$L$69,6,FALSE)</f>
        <v>Subventions d'exploitation</v>
      </c>
    </row>
    <row r="344" spans="1:20" ht="14.5" hidden="1" customHeight="1">
      <c r="A344" s="78" t="s">
        <v>170</v>
      </c>
      <c r="B344" s="374" t="s">
        <v>79</v>
      </c>
      <c r="C344" s="383">
        <v>77</v>
      </c>
      <c r="D344" s="369">
        <v>44795</v>
      </c>
      <c r="E344" s="429" t="s">
        <v>521</v>
      </c>
      <c r="F344" s="371"/>
      <c r="G344" s="372"/>
      <c r="H344" s="372">
        <v>1462.07</v>
      </c>
      <c r="I344" s="473">
        <f t="shared" si="32"/>
        <v>3355.369999999999</v>
      </c>
      <c r="J344" s="386" t="s">
        <v>306</v>
      </c>
      <c r="K344" s="381">
        <v>6700</v>
      </c>
      <c r="L344" s="74" t="str">
        <f>VLOOKUP($J344,'2 CODIFICATION'!A$5:B$21,2,"FAUX")</f>
        <v>DASSOUTE TEUILLAC CANTINE</v>
      </c>
      <c r="M344" s="74" t="str">
        <f>VLOOKUP($K344,'2 CODIFICATION'!D$8:E$61,2,"FAUX")</f>
        <v>Charges exceptionnelles</v>
      </c>
      <c r="N344" s="45">
        <f t="shared" ref="N344:N350" si="33">+K344*100</f>
        <v>670000</v>
      </c>
      <c r="O344" s="280">
        <f>G344-H344</f>
        <v>-1462.07</v>
      </c>
      <c r="P344" s="84">
        <f>YEAR(D344)</f>
        <v>2022</v>
      </c>
      <c r="Q344" s="281" t="str">
        <f>VLOOKUP($N344,'2 CODIFICATION'!$G$5:$L$69,3,FALSE)</f>
        <v>Charges exceptionnelles</v>
      </c>
      <c r="R344" s="282" t="str">
        <f>VLOOKUP($N344,'2 CODIFICATION'!$G$5:$L$69,4,FALSE)</f>
        <v>chges</v>
      </c>
      <c r="S344" s="282">
        <f>VLOOKUP($N344,'2 CODIFICATION'!$G$5:$L$69,5,FALSE)</f>
        <v>67</v>
      </c>
      <c r="T344" s="281" t="str">
        <f>VLOOKUP($N344,'2 CODIFICATION'!$G$5:$L$69,6,FALSE)</f>
        <v>charges exceptionnelles</v>
      </c>
    </row>
    <row r="345" spans="1:20" ht="14.5" hidden="1" customHeight="1">
      <c r="A345" s="427" t="s">
        <v>170</v>
      </c>
      <c r="B345" s="428" t="s">
        <v>79</v>
      </c>
      <c r="C345" s="429">
        <v>78</v>
      </c>
      <c r="D345" s="430">
        <v>44804</v>
      </c>
      <c r="E345" s="429" t="s">
        <v>519</v>
      </c>
      <c r="F345" s="429" t="s">
        <v>253</v>
      </c>
      <c r="G345" s="441"/>
      <c r="H345" s="441">
        <v>20</v>
      </c>
      <c r="I345" s="475">
        <f t="shared" si="32"/>
        <v>3335.369999999999</v>
      </c>
      <c r="J345" s="466" t="s">
        <v>527</v>
      </c>
      <c r="K345" s="20">
        <f>N345/100</f>
        <v>6230</v>
      </c>
      <c r="L345" s="74" t="str">
        <f>VLOOKUP($J345,'2 CODIFICATION'!A$5:B$21,2,"FAUX")</f>
        <v>TOILETTES ECOSAN</v>
      </c>
      <c r="M345" s="74" t="str">
        <f>VLOOKUP($K345,'2 CODIFICATION'!D$8:E$61,2,"FAUX")</f>
        <v>communication</v>
      </c>
      <c r="N345" s="45">
        <v>623000</v>
      </c>
      <c r="O345" s="280">
        <f t="shared" ref="O345:O375" si="34">G345-H345</f>
        <v>-20</v>
      </c>
      <c r="P345" s="84">
        <f t="shared" ref="P345:P375" si="35">YEAR(D345)</f>
        <v>2022</v>
      </c>
      <c r="Q345" s="281" t="str">
        <f>VLOOKUP($N345,'2 CODIFICATION'!$G$5:$L$69,3,FALSE)</f>
        <v>Publicité, publications, Création de site web</v>
      </c>
      <c r="R345" s="282" t="str">
        <f>VLOOKUP($N345,'2 CODIFICATION'!$G$5:$L$69,4,FALSE)</f>
        <v>chges</v>
      </c>
      <c r="S345" s="282">
        <f>VLOOKUP($N345,'2 CODIFICATION'!$G$5:$L$69,5,FALSE)</f>
        <v>62</v>
      </c>
      <c r="T345" s="281" t="str">
        <f>VLOOKUP($N345,'2 CODIFICATION'!$G$5:$L$69,6,FALSE)</f>
        <v>Autres services extérieurs</v>
      </c>
    </row>
    <row r="346" spans="1:20" ht="14.5" hidden="1" customHeight="1">
      <c r="A346" s="427" t="s">
        <v>170</v>
      </c>
      <c r="B346" s="428" t="s">
        <v>79</v>
      </c>
      <c r="C346" s="429">
        <v>79</v>
      </c>
      <c r="D346" s="432">
        <v>44821</v>
      </c>
      <c r="E346" s="431" t="s">
        <v>520</v>
      </c>
      <c r="F346" s="431" t="s">
        <v>253</v>
      </c>
      <c r="G346" s="441"/>
      <c r="H346" s="441">
        <v>56.79</v>
      </c>
      <c r="I346" s="473">
        <f t="shared" si="32"/>
        <v>3278.579999999999</v>
      </c>
      <c r="J346" s="386" t="s">
        <v>198</v>
      </c>
      <c r="K346" s="381">
        <v>6230</v>
      </c>
      <c r="L346" s="74" t="str">
        <f>VLOOKUP($J346,'2 CODIFICATION'!A$5:B$21,2,"FAUX")</f>
        <v>HYGIENE MENSTRUELLE</v>
      </c>
      <c r="M346" s="74" t="str">
        <f>VLOOKUP($K346,'2 CODIFICATION'!D$8:E$61,2,"FAUX")</f>
        <v>communication</v>
      </c>
      <c r="N346" s="45">
        <f t="shared" si="33"/>
        <v>623000</v>
      </c>
      <c r="O346" s="280">
        <f t="shared" si="34"/>
        <v>-56.79</v>
      </c>
      <c r="P346" s="84">
        <f t="shared" si="35"/>
        <v>2022</v>
      </c>
      <c r="Q346" s="281" t="str">
        <f>VLOOKUP($N346,'2 CODIFICATION'!$G$5:$L$69,3,FALSE)</f>
        <v>Publicité, publications, Création de site web</v>
      </c>
      <c r="R346" s="282" t="str">
        <f>VLOOKUP($N346,'2 CODIFICATION'!$G$5:$L$69,4,FALSE)</f>
        <v>chges</v>
      </c>
      <c r="S346" s="282">
        <f>VLOOKUP($N346,'2 CODIFICATION'!$G$5:$L$69,5,FALSE)</f>
        <v>62</v>
      </c>
      <c r="T346" s="281" t="str">
        <f>VLOOKUP($N346,'2 CODIFICATION'!$G$5:$L$69,6,FALSE)</f>
        <v>Autres services extérieurs</v>
      </c>
    </row>
    <row r="347" spans="1:20" ht="14.5" hidden="1" customHeight="1">
      <c r="A347" s="427" t="s">
        <v>170</v>
      </c>
      <c r="B347" s="428" t="s">
        <v>79</v>
      </c>
      <c r="C347" s="429">
        <v>81</v>
      </c>
      <c r="D347" s="430">
        <v>44821</v>
      </c>
      <c r="E347" s="429" t="s">
        <v>522</v>
      </c>
      <c r="F347" s="429" t="s">
        <v>253</v>
      </c>
      <c r="G347" s="442"/>
      <c r="H347" s="442">
        <v>119.31</v>
      </c>
      <c r="I347" s="473">
        <f t="shared" si="32"/>
        <v>3159.2699999999991</v>
      </c>
      <c r="J347" s="386" t="s">
        <v>198</v>
      </c>
      <c r="K347" s="381">
        <v>6230</v>
      </c>
      <c r="L347" s="74" t="str">
        <f>VLOOKUP($J347,'2 CODIFICATION'!A$5:B$21,2,"FAUX")</f>
        <v>HYGIENE MENSTRUELLE</v>
      </c>
      <c r="M347" s="74" t="str">
        <f>VLOOKUP($K347,'2 CODIFICATION'!D$8:E$61,2,"FAUX")</f>
        <v>communication</v>
      </c>
      <c r="N347" s="45">
        <f t="shared" si="33"/>
        <v>623000</v>
      </c>
      <c r="O347" s="280">
        <f t="shared" si="34"/>
        <v>-119.31</v>
      </c>
      <c r="P347" s="84">
        <f t="shared" si="35"/>
        <v>2022</v>
      </c>
      <c r="Q347" s="281" t="str">
        <f>VLOOKUP($N347,'2 CODIFICATION'!$G$5:$L$69,3,FALSE)</f>
        <v>Publicité, publications, Création de site web</v>
      </c>
      <c r="R347" s="282" t="str">
        <f>VLOOKUP($N347,'2 CODIFICATION'!$G$5:$L$69,4,FALSE)</f>
        <v>chges</v>
      </c>
      <c r="S347" s="282">
        <f>VLOOKUP($N347,'2 CODIFICATION'!$G$5:$L$69,5,FALSE)</f>
        <v>62</v>
      </c>
      <c r="T347" s="281" t="str">
        <f>VLOOKUP($N347,'2 CODIFICATION'!$G$5:$L$69,6,FALSE)</f>
        <v>Autres services extérieurs</v>
      </c>
    </row>
    <row r="348" spans="1:20" ht="14.5" hidden="1" customHeight="1">
      <c r="A348" s="427" t="s">
        <v>170</v>
      </c>
      <c r="B348" s="428" t="s">
        <v>79</v>
      </c>
      <c r="C348" s="429">
        <v>82</v>
      </c>
      <c r="D348" s="434">
        <v>44821</v>
      </c>
      <c r="E348" s="435" t="s">
        <v>523</v>
      </c>
      <c r="F348" s="435" t="s">
        <v>253</v>
      </c>
      <c r="G348" s="443">
        <v>36</v>
      </c>
      <c r="H348" s="443"/>
      <c r="I348" s="476">
        <f t="shared" si="32"/>
        <v>3195.2699999999991</v>
      </c>
      <c r="J348" s="398" t="s">
        <v>273</v>
      </c>
      <c r="K348" s="399">
        <v>4500</v>
      </c>
      <c r="L348" s="74" t="str">
        <f>VLOOKUP($J348,'2 CODIFICATION'!A$5:B$21,2,"FAUX")</f>
        <v>ADMINIST ET FONCT</v>
      </c>
      <c r="M348" s="74" t="str">
        <f>VLOOKUP($K348,'2 CODIFICATION'!D$5:E$61,2,"FAUX")</f>
        <v>Compte courant</v>
      </c>
      <c r="N348" s="45">
        <f t="shared" si="33"/>
        <v>450000</v>
      </c>
      <c r="O348" s="280">
        <f t="shared" si="34"/>
        <v>36</v>
      </c>
      <c r="P348" s="84">
        <f t="shared" si="35"/>
        <v>2022</v>
      </c>
      <c r="Q348" s="281" t="str">
        <f>VLOOKUP($N348,'2 CODIFICATION'!$G$5:$L$69,3,FALSE)</f>
        <v>Compte courant</v>
      </c>
      <c r="R348" s="282" t="str">
        <f>VLOOKUP($N348,'2 CODIFICATION'!$G$5:$L$69,4,FALSE)</f>
        <v>bilan</v>
      </c>
      <c r="S348" s="282">
        <f>VLOOKUP($N348,'2 CODIFICATION'!$G$5:$L$69,5,FALSE)</f>
        <v>45</v>
      </c>
      <c r="T348" s="281" t="str">
        <f>VLOOKUP($N348,'2 CODIFICATION'!$G$5:$L$69,6,FALSE)</f>
        <v>Compte courant</v>
      </c>
    </row>
    <row r="349" spans="1:20" ht="29" hidden="1" customHeight="1">
      <c r="A349" s="427" t="s">
        <v>170</v>
      </c>
      <c r="B349" s="428" t="s">
        <v>79</v>
      </c>
      <c r="C349" s="429">
        <v>83</v>
      </c>
      <c r="D349" s="430">
        <v>44826</v>
      </c>
      <c r="E349" s="433" t="s">
        <v>524</v>
      </c>
      <c r="F349" s="429"/>
      <c r="G349" s="442">
        <v>5000</v>
      </c>
      <c r="H349" s="442"/>
      <c r="I349" s="473">
        <f t="shared" si="32"/>
        <v>8195.2699999999986</v>
      </c>
      <c r="J349" s="386" t="s">
        <v>198</v>
      </c>
      <c r="K349" s="381">
        <v>7410</v>
      </c>
      <c r="L349" s="74" t="str">
        <f>VLOOKUP($J349,'2 CODIFICATION'!A$5:B$21,2,"FAUX")</f>
        <v>HYGIENE MENSTRUELLE</v>
      </c>
      <c r="M349" s="74" t="str">
        <f>VLOOKUP($K349,'2 CODIFICATION'!D$8:E$61,2,"FAUX")</f>
        <v>Subventions Région Nouvelle Aquitaine</v>
      </c>
      <c r="N349" s="45">
        <f t="shared" si="33"/>
        <v>741000</v>
      </c>
      <c r="O349" s="280">
        <f t="shared" si="34"/>
        <v>5000</v>
      </c>
      <c r="P349" s="84">
        <f t="shared" si="35"/>
        <v>2022</v>
      </c>
      <c r="Q349" s="281" t="str">
        <f>VLOOKUP($N349,'2 CODIFICATION'!$G$5:$L$69,3,FALSE)</f>
        <v>Région Nouvelle-Aquitaine</v>
      </c>
      <c r="R349" s="282" t="str">
        <f>VLOOKUP($N349,'2 CODIFICATION'!$G$5:$L$69,4,FALSE)</f>
        <v>pdts</v>
      </c>
      <c r="S349" s="282">
        <f>VLOOKUP($N349,'2 CODIFICATION'!$G$5:$L$69,5,FALSE)</f>
        <v>74</v>
      </c>
      <c r="T349" s="281" t="str">
        <f>VLOOKUP($N349,'2 CODIFICATION'!$G$5:$L$69,6,FALSE)</f>
        <v>Subventions d'exploitation</v>
      </c>
    </row>
    <row r="350" spans="1:20" s="78" customFormat="1" ht="15" hidden="1" customHeight="1">
      <c r="A350" s="78" t="s">
        <v>528</v>
      </c>
      <c r="B350" s="78" t="s">
        <v>79</v>
      </c>
      <c r="C350" s="79"/>
      <c r="D350" s="80">
        <v>44562</v>
      </c>
      <c r="E350" s="79" t="s">
        <v>162</v>
      </c>
      <c r="F350" s="147"/>
      <c r="G350" s="81">
        <v>1399.0499999999995</v>
      </c>
      <c r="H350" s="82"/>
      <c r="I350" s="471">
        <f t="shared" si="32"/>
        <v>9594.3199999999979</v>
      </c>
      <c r="J350" s="74" t="s">
        <v>273</v>
      </c>
      <c r="K350" s="20">
        <v>5120</v>
      </c>
      <c r="L350" s="74" t="str">
        <f>VLOOKUP($J350,'2 CODIFICATION'!A$5:B$21,2,"FAUX")</f>
        <v>ADMINIST ET FONCT</v>
      </c>
      <c r="M350" s="74" t="str">
        <f>VLOOKUP($K350,'2 CODIFICATION'!D$8:E$64,2,"FAUX")</f>
        <v>Banque</v>
      </c>
      <c r="N350" s="84">
        <f t="shared" si="33"/>
        <v>512000</v>
      </c>
      <c r="O350" s="14">
        <f t="shared" si="34"/>
        <v>1399.0499999999995</v>
      </c>
      <c r="P350" s="84">
        <f t="shared" si="35"/>
        <v>2022</v>
      </c>
      <c r="Q350" s="11" t="str">
        <f>VLOOKUP($N350,'2 CODIFICATION'!$G$5:$L$71,3,FALSE)</f>
        <v>Banque</v>
      </c>
      <c r="R350" s="53" t="str">
        <f>VLOOKUP($N350,'2 CODIFICATION'!$G$5:$L$71,4,FALSE)</f>
        <v>bilan</v>
      </c>
      <c r="S350" s="53">
        <f>VLOOKUP($N350,'2 CODIFICATION'!$G$5:$L$71,5,FALSE)</f>
        <v>50</v>
      </c>
      <c r="T350" s="11" t="str">
        <f>VLOOKUP($N350,'2 CODIFICATION'!$G$5:$L$71,6,FALSE)</f>
        <v>Trésorerie</v>
      </c>
    </row>
    <row r="351" spans="1:20" s="78" customFormat="1" ht="15" hidden="1" customHeight="1">
      <c r="A351" s="78" t="s">
        <v>528</v>
      </c>
      <c r="B351" s="78" t="s">
        <v>79</v>
      </c>
      <c r="C351" s="79"/>
      <c r="D351" s="80">
        <v>44562</v>
      </c>
      <c r="E351" s="79" t="s">
        <v>162</v>
      </c>
      <c r="F351" s="147"/>
      <c r="G351" s="81">
        <v>-179.82999999999947</v>
      </c>
      <c r="H351" s="82"/>
      <c r="I351" s="471">
        <f t="shared" si="32"/>
        <v>9414.489999999998</v>
      </c>
      <c r="J351" s="74" t="s">
        <v>198</v>
      </c>
      <c r="K351" s="20">
        <v>5120</v>
      </c>
      <c r="L351" s="74" t="str">
        <f>VLOOKUP($J351,'2 CODIFICATION'!A$5:B$21,2,"FAUX")</f>
        <v>HYGIENE MENSTRUELLE</v>
      </c>
      <c r="M351" s="74" t="str">
        <f>VLOOKUP($K351,'2 CODIFICATION'!D$8:E$64,2,"FAUX")</f>
        <v>Banque</v>
      </c>
      <c r="N351" s="84">
        <f t="shared" ref="N351:N375" si="36">+K351*100</f>
        <v>512000</v>
      </c>
      <c r="O351" s="14">
        <f t="shared" si="34"/>
        <v>-179.82999999999947</v>
      </c>
      <c r="P351" s="84">
        <f t="shared" si="35"/>
        <v>2022</v>
      </c>
      <c r="Q351" s="11" t="str">
        <f>VLOOKUP($N351,'2 CODIFICATION'!$G$5:$L$71,3,FALSE)</f>
        <v>Banque</v>
      </c>
      <c r="R351" s="53" t="str">
        <f>VLOOKUP($N351,'2 CODIFICATION'!$G$5:$L$71,4,FALSE)</f>
        <v>bilan</v>
      </c>
      <c r="S351" s="53">
        <f>VLOOKUP($N351,'2 CODIFICATION'!$G$5:$L$71,5,FALSE)</f>
        <v>50</v>
      </c>
      <c r="T351" s="11" t="str">
        <f>VLOOKUP($N351,'2 CODIFICATION'!$G$5:$L$71,6,FALSE)</f>
        <v>Trésorerie</v>
      </c>
    </row>
    <row r="352" spans="1:20" s="78" customFormat="1" ht="15" hidden="1" customHeight="1">
      <c r="A352" s="78" t="s">
        <v>528</v>
      </c>
      <c r="B352" s="78" t="s">
        <v>79</v>
      </c>
      <c r="C352" s="79"/>
      <c r="D352" s="80">
        <v>44926</v>
      </c>
      <c r="E352" s="79" t="s">
        <v>435</v>
      </c>
      <c r="F352" s="147"/>
      <c r="G352" s="81"/>
      <c r="H352" s="82">
        <v>100</v>
      </c>
      <c r="I352" s="471">
        <f t="shared" si="32"/>
        <v>9314.489999999998</v>
      </c>
      <c r="J352" s="74" t="s">
        <v>273</v>
      </c>
      <c r="K352" s="20">
        <v>6022</v>
      </c>
      <c r="L352" s="74" t="str">
        <f>VLOOKUP($J352,'2 CODIFICATION'!A$5:B$21,2,"FAUX")</f>
        <v>ADMINIST ET FONCT</v>
      </c>
      <c r="M352" s="74" t="str">
        <f>VLOOKUP($K352,'2 CODIFICATION'!D$8:E$64,2,"FAUX")</f>
        <v>Fournitures stockées</v>
      </c>
      <c r="N352" s="85">
        <f t="shared" si="36"/>
        <v>602200</v>
      </c>
      <c r="O352" s="14">
        <f t="shared" si="34"/>
        <v>-100</v>
      </c>
      <c r="P352" s="84">
        <f t="shared" si="35"/>
        <v>2022</v>
      </c>
      <c r="Q352" s="11" t="str">
        <f>VLOOKUP($N352,'2 CODIFICATION'!$G$5:$L$71,3,FALSE)</f>
        <v>Fournitures de bureau et consommables</v>
      </c>
      <c r="R352" s="53" t="str">
        <f>VLOOKUP($N352,'2 CODIFICATION'!$G$5:$L$71,4,FALSE)</f>
        <v>chges</v>
      </c>
      <c r="S352" s="53">
        <f>VLOOKUP($N352,'2 CODIFICATION'!$G$5:$L$71,5,FALSE)</f>
        <v>60</v>
      </c>
      <c r="T352" s="11" t="str">
        <f>VLOOKUP($N352,'2 CODIFICATION'!$G$5:$L$71,6,FALSE)</f>
        <v>Achat</v>
      </c>
    </row>
    <row r="353" spans="1:20" s="78" customFormat="1" ht="15" hidden="1" customHeight="1">
      <c r="A353" s="78" t="s">
        <v>528</v>
      </c>
      <c r="B353" s="78" t="s">
        <v>79</v>
      </c>
      <c r="C353" s="79"/>
      <c r="D353" s="80">
        <v>44926</v>
      </c>
      <c r="E353" s="79" t="s">
        <v>435</v>
      </c>
      <c r="F353" s="147"/>
      <c r="G353" s="81">
        <v>124.55</v>
      </c>
      <c r="H353" s="82"/>
      <c r="I353" s="471">
        <f t="shared" si="32"/>
        <v>9439.0399999999972</v>
      </c>
      <c r="J353" s="74" t="s">
        <v>273</v>
      </c>
      <c r="K353" s="20">
        <v>4860</v>
      </c>
      <c r="L353" s="74" t="str">
        <f>VLOOKUP($J353,'2 CODIFICATION'!A$5:B$21,2,"FAUX")</f>
        <v>ADMINIST ET FONCT</v>
      </c>
      <c r="M353" s="74" t="str">
        <f>VLOOKUP($K353,'2 CODIFICATION'!D$8:E$64,2,"FAUX")</f>
        <v>Charges constatées d'avance</v>
      </c>
      <c r="N353" s="85">
        <f t="shared" si="36"/>
        <v>486000</v>
      </c>
      <c r="O353" s="14">
        <f t="shared" si="34"/>
        <v>124.55</v>
      </c>
      <c r="P353" s="84">
        <f t="shared" si="35"/>
        <v>2022</v>
      </c>
      <c r="Q353" s="11" t="str">
        <f>VLOOKUP($N353,'2 CODIFICATION'!$G$5:$L$71,3,FALSE)</f>
        <v>Charges constatées d'avance</v>
      </c>
      <c r="R353" s="53" t="str">
        <f>VLOOKUP($N353,'2 CODIFICATION'!$G$5:$L$71,4,FALSE)</f>
        <v>bilan</v>
      </c>
      <c r="S353" s="53">
        <f>VLOOKUP($N353,'2 CODIFICATION'!$G$5:$L$71,5,FALSE)</f>
        <v>48</v>
      </c>
      <c r="T353" s="11" t="str">
        <f>VLOOKUP($N353,'2 CODIFICATION'!$G$5:$L$71,6,FALSE)</f>
        <v>CCA</v>
      </c>
    </row>
    <row r="354" spans="1:20" s="78" customFormat="1" ht="15" hidden="1" customHeight="1">
      <c r="A354" s="78" t="s">
        <v>528</v>
      </c>
      <c r="B354" s="78" t="s">
        <v>79</v>
      </c>
      <c r="C354" s="79"/>
      <c r="D354" s="80">
        <v>44926</v>
      </c>
      <c r="E354" s="79" t="s">
        <v>178</v>
      </c>
      <c r="F354" s="147"/>
      <c r="G354" s="81"/>
      <c r="H354" s="82">
        <v>124.55</v>
      </c>
      <c r="I354" s="471">
        <f t="shared" si="32"/>
        <v>9314.489999999998</v>
      </c>
      <c r="J354" s="74" t="s">
        <v>273</v>
      </c>
      <c r="K354" s="20">
        <v>6160</v>
      </c>
      <c r="L354" s="74" t="str">
        <f>VLOOKUP($J354,'2 CODIFICATION'!A$5:B$21,2,"FAUX")</f>
        <v>ADMINIST ET FONCT</v>
      </c>
      <c r="M354" s="74" t="str">
        <f>VLOOKUP($K354,'2 CODIFICATION'!D$8:E$64,2,"FAUX")</f>
        <v>Assurance RC</v>
      </c>
      <c r="N354" s="85">
        <f t="shared" si="36"/>
        <v>616000</v>
      </c>
      <c r="O354" s="14">
        <f t="shared" si="34"/>
        <v>-124.55</v>
      </c>
      <c r="P354" s="84">
        <f t="shared" si="35"/>
        <v>2022</v>
      </c>
      <c r="Q354" s="11" t="str">
        <f>VLOOKUP($N354,'2 CODIFICATION'!$G$5:$L$71,3,FALSE)</f>
        <v>Primes d'assurance</v>
      </c>
      <c r="R354" s="53" t="str">
        <f>VLOOKUP($N354,'2 CODIFICATION'!$G$5:$L$71,4,FALSE)</f>
        <v>chges</v>
      </c>
      <c r="S354" s="53">
        <f>VLOOKUP($N354,'2 CODIFICATION'!$G$5:$L$71,5,FALSE)</f>
        <v>61</v>
      </c>
      <c r="T354" s="11" t="str">
        <f>VLOOKUP($N354,'2 CODIFICATION'!$G$5:$L$71,6,FALSE)</f>
        <v>Services extérieurs</v>
      </c>
    </row>
    <row r="355" spans="1:20" s="78" customFormat="1" ht="15" hidden="1" customHeight="1">
      <c r="A355" s="78" t="s">
        <v>528</v>
      </c>
      <c r="B355" s="78" t="s">
        <v>79</v>
      </c>
      <c r="C355" s="79"/>
      <c r="D355" s="80">
        <v>44926</v>
      </c>
      <c r="E355" s="79" t="s">
        <v>35</v>
      </c>
      <c r="F355" s="147"/>
      <c r="G355" s="81"/>
      <c r="H355" s="82">
        <v>100</v>
      </c>
      <c r="I355" s="471">
        <f t="shared" si="32"/>
        <v>9214.489999999998</v>
      </c>
      <c r="J355" s="74" t="s">
        <v>273</v>
      </c>
      <c r="K355" s="20">
        <v>6064</v>
      </c>
      <c r="L355" s="74" t="str">
        <f>VLOOKUP($J355,'2 CODIFICATION'!A$5:B$21,2,"FAUX")</f>
        <v>ADMINIST ET FONCT</v>
      </c>
      <c r="M355" s="74" t="str">
        <f>VLOOKUP($K355,'2 CODIFICATION'!D$8:E$64,2,"FAUX")</f>
        <v>Frais de fonctionnement et fourniture</v>
      </c>
      <c r="N355" s="85">
        <f t="shared" si="36"/>
        <v>606400</v>
      </c>
      <c r="O355" s="14">
        <f t="shared" si="34"/>
        <v>-100</v>
      </c>
      <c r="P355" s="84">
        <f t="shared" si="35"/>
        <v>2022</v>
      </c>
      <c r="Q355" s="11" t="str">
        <f>VLOOKUP($N355,'2 CODIFICATION'!$G$5:$L$71,3,FALSE)</f>
        <v>Fournitures administratives</v>
      </c>
      <c r="R355" s="53" t="str">
        <f>VLOOKUP($N355,'2 CODIFICATION'!$G$5:$L$71,4,FALSE)</f>
        <v>chges</v>
      </c>
      <c r="S355" s="53">
        <f>VLOOKUP($N355,'2 CODIFICATION'!$G$5:$L$71,5,FALSE)</f>
        <v>60</v>
      </c>
      <c r="T355" s="11" t="str">
        <f>VLOOKUP($N355,'2 CODIFICATION'!$G$5:$L$71,6,FALSE)</f>
        <v>Achat</v>
      </c>
    </row>
    <row r="356" spans="1:20" s="78" customFormat="1" ht="15" hidden="1" customHeight="1">
      <c r="A356" s="78" t="s">
        <v>528</v>
      </c>
      <c r="B356" s="78" t="s">
        <v>79</v>
      </c>
      <c r="C356" s="86"/>
      <c r="D356" s="80">
        <v>44926</v>
      </c>
      <c r="E356" s="79" t="s">
        <v>167</v>
      </c>
      <c r="F356" s="147"/>
      <c r="G356" s="81"/>
      <c r="H356" s="82">
        <f>130-124.55</f>
        <v>5.4500000000000028</v>
      </c>
      <c r="I356" s="471">
        <f t="shared" si="32"/>
        <v>9209.0399999999972</v>
      </c>
      <c r="J356" s="74" t="s">
        <v>273</v>
      </c>
      <c r="K356" s="20">
        <v>6160</v>
      </c>
      <c r="L356" s="74" t="str">
        <f>VLOOKUP($J356,'2 CODIFICATION'!A$5:B$21,2,"FAUX")</f>
        <v>ADMINIST ET FONCT</v>
      </c>
      <c r="M356" s="74" t="str">
        <f>VLOOKUP($K356,'2 CODIFICATION'!D$8:E$64,2,"FAUX")</f>
        <v>Assurance RC</v>
      </c>
      <c r="N356" s="85">
        <f t="shared" si="36"/>
        <v>616000</v>
      </c>
      <c r="O356" s="14">
        <f t="shared" si="34"/>
        <v>-5.4500000000000028</v>
      </c>
      <c r="P356" s="84">
        <f t="shared" si="35"/>
        <v>2022</v>
      </c>
      <c r="Q356" s="11" t="str">
        <f>VLOOKUP($N356,'2 CODIFICATION'!$G$5:$L$71,3,FALSE)</f>
        <v>Primes d'assurance</v>
      </c>
      <c r="R356" s="53" t="str">
        <f>VLOOKUP($N356,'2 CODIFICATION'!$G$5:$L$71,4,FALSE)</f>
        <v>chges</v>
      </c>
      <c r="S356" s="53">
        <f>VLOOKUP($N356,'2 CODIFICATION'!$G$5:$L$71,5,FALSE)</f>
        <v>61</v>
      </c>
      <c r="T356" s="11" t="str">
        <f>VLOOKUP($N356,'2 CODIFICATION'!$G$5:$L$71,6,FALSE)</f>
        <v>Services extérieurs</v>
      </c>
    </row>
    <row r="357" spans="1:20" s="78" customFormat="1" ht="15" hidden="1" customHeight="1">
      <c r="A357" s="78" t="s">
        <v>528</v>
      </c>
      <c r="B357" s="78" t="s">
        <v>79</v>
      </c>
      <c r="C357" s="86"/>
      <c r="D357" s="80">
        <v>44926</v>
      </c>
      <c r="E357" s="79" t="s">
        <v>42</v>
      </c>
      <c r="F357" s="147"/>
      <c r="G357" s="81"/>
      <c r="H357" s="82">
        <v>50</v>
      </c>
      <c r="I357" s="471">
        <f t="shared" si="32"/>
        <v>9159.0399999999972</v>
      </c>
      <c r="J357" s="74" t="s">
        <v>273</v>
      </c>
      <c r="K357" s="20">
        <v>6181</v>
      </c>
      <c r="L357" s="74" t="str">
        <f>VLOOKUP($J357,'2 CODIFICATION'!A$5:B$21,2,"FAUX")</f>
        <v>ADMINIST ET FONCT</v>
      </c>
      <c r="M357" s="74" t="str">
        <f>VLOOKUP($K357,'2 CODIFICATION'!D$8:E$64,2,"FAUX")</f>
        <v>documentation générale</v>
      </c>
      <c r="N357" s="85">
        <f t="shared" si="36"/>
        <v>618100</v>
      </c>
      <c r="O357" s="14">
        <f t="shared" si="34"/>
        <v>-50</v>
      </c>
      <c r="P357" s="84">
        <f t="shared" si="35"/>
        <v>2022</v>
      </c>
      <c r="Q357" s="11" t="str">
        <f>VLOOKUP($N357,'2 CODIFICATION'!$G$5:$L$71,3,FALSE)</f>
        <v>Documentation générale</v>
      </c>
      <c r="R357" s="53" t="str">
        <f>VLOOKUP($N357,'2 CODIFICATION'!$G$5:$L$71,4,FALSE)</f>
        <v>chges</v>
      </c>
      <c r="S357" s="53">
        <f>VLOOKUP($N357,'2 CODIFICATION'!$G$5:$L$71,5,FALSE)</f>
        <v>61</v>
      </c>
      <c r="T357" s="11" t="str">
        <f>VLOOKUP($N357,'2 CODIFICATION'!$G$5:$L$71,6,FALSE)</f>
        <v>Autres services extérieurs</v>
      </c>
    </row>
    <row r="358" spans="1:20" s="78" customFormat="1" ht="15" hidden="1" customHeight="1">
      <c r="A358" s="78" t="s">
        <v>528</v>
      </c>
      <c r="B358" s="78" t="s">
        <v>79</v>
      </c>
      <c r="C358" s="86"/>
      <c r="D358" s="80">
        <v>44926</v>
      </c>
      <c r="E358" s="86" t="s">
        <v>182</v>
      </c>
      <c r="F358" s="148"/>
      <c r="G358" s="81"/>
      <c r="H358" s="82">
        <v>50</v>
      </c>
      <c r="I358" s="471">
        <f t="shared" si="32"/>
        <v>9109.0399999999972</v>
      </c>
      <c r="J358" s="74" t="s">
        <v>273</v>
      </c>
      <c r="K358" s="20">
        <v>6230</v>
      </c>
      <c r="L358" s="74" t="str">
        <f>VLOOKUP($J358,'2 CODIFICATION'!A$5:B$21,2,"FAUX")</f>
        <v>ADMINIST ET FONCT</v>
      </c>
      <c r="M358" s="74" t="str">
        <f>VLOOKUP($K358,'2 CODIFICATION'!D$8:E$64,2,"FAUX")</f>
        <v>communication</v>
      </c>
      <c r="N358" s="85">
        <f t="shared" si="36"/>
        <v>623000</v>
      </c>
      <c r="O358" s="14">
        <f t="shared" si="34"/>
        <v>-50</v>
      </c>
      <c r="P358" s="84">
        <f t="shared" si="35"/>
        <v>2022</v>
      </c>
      <c r="Q358" s="11" t="str">
        <f>VLOOKUP($N358,'2 CODIFICATION'!$G$5:$L$71,3,FALSE)</f>
        <v>Publicité, publications, Création de site web</v>
      </c>
      <c r="R358" s="53" t="str">
        <f>VLOOKUP($N358,'2 CODIFICATION'!$G$5:$L$71,4,FALSE)</f>
        <v>chges</v>
      </c>
      <c r="S358" s="53">
        <f>VLOOKUP($N358,'2 CODIFICATION'!$G$5:$L$71,5,FALSE)</f>
        <v>62</v>
      </c>
      <c r="T358" s="11" t="str">
        <f>VLOOKUP($N358,'2 CODIFICATION'!$G$5:$L$71,6,FALSE)</f>
        <v>Autres services extérieurs</v>
      </c>
    </row>
    <row r="359" spans="1:20" s="78" customFormat="1" ht="15" hidden="1" customHeight="1">
      <c r="A359" s="78" t="s">
        <v>528</v>
      </c>
      <c r="B359" s="78" t="s">
        <v>79</v>
      </c>
      <c r="C359" s="79"/>
      <c r="D359" s="80">
        <v>44926</v>
      </c>
      <c r="E359" s="79" t="s">
        <v>48</v>
      </c>
      <c r="F359" s="147"/>
      <c r="G359" s="81"/>
      <c r="H359" s="82">
        <v>800</v>
      </c>
      <c r="I359" s="471">
        <f t="shared" si="32"/>
        <v>8309.0399999999972</v>
      </c>
      <c r="J359" s="74" t="s">
        <v>273</v>
      </c>
      <c r="K359" s="20">
        <v>6250</v>
      </c>
      <c r="L359" s="74" t="str">
        <f>VLOOKUP($J359,'2 CODIFICATION'!A$5:B$21,2,"FAUX")</f>
        <v>ADMINIST ET FONCT</v>
      </c>
      <c r="M359" s="74" t="str">
        <f>VLOOKUP($K359,'2 CODIFICATION'!D$8:E$64,2,"FAUX")</f>
        <v>déplacements</v>
      </c>
      <c r="N359" s="85">
        <f t="shared" si="36"/>
        <v>625000</v>
      </c>
      <c r="O359" s="14">
        <f t="shared" si="34"/>
        <v>-800</v>
      </c>
      <c r="P359" s="84">
        <f t="shared" si="35"/>
        <v>2022</v>
      </c>
      <c r="Q359" s="11" t="str">
        <f>VLOOKUP($N359,'2 CODIFICATION'!$G$5:$L$71,3,FALSE)</f>
        <v>Déplacements, missions et réceptions</v>
      </c>
      <c r="R359" s="53" t="str">
        <f>VLOOKUP($N359,'2 CODIFICATION'!$G$5:$L$71,4,FALSE)</f>
        <v>chges</v>
      </c>
      <c r="S359" s="53">
        <f>VLOOKUP($N359,'2 CODIFICATION'!$G$5:$L$71,5,FALSE)</f>
        <v>62</v>
      </c>
      <c r="T359" s="11" t="str">
        <f>VLOOKUP($N359,'2 CODIFICATION'!$G$5:$L$71,6,FALSE)</f>
        <v>Autres services extérieurs</v>
      </c>
    </row>
    <row r="360" spans="1:20" s="78" customFormat="1" ht="15" hidden="1" customHeight="1">
      <c r="A360" s="78" t="s">
        <v>528</v>
      </c>
      <c r="B360" s="78" t="s">
        <v>79</v>
      </c>
      <c r="C360" s="79"/>
      <c r="D360" s="80">
        <v>44926</v>
      </c>
      <c r="E360" s="79" t="s">
        <v>52</v>
      </c>
      <c r="F360" s="147"/>
      <c r="G360" s="81"/>
      <c r="H360" s="82">
        <v>90</v>
      </c>
      <c r="I360" s="471">
        <f t="shared" si="32"/>
        <v>8219.0399999999972</v>
      </c>
      <c r="J360" s="74" t="s">
        <v>273</v>
      </c>
      <c r="K360" s="20">
        <v>6261</v>
      </c>
      <c r="L360" s="74" t="str">
        <f>VLOOKUP($J360,'2 CODIFICATION'!A$5:B$21,2,"FAUX")</f>
        <v>ADMINIST ET FONCT</v>
      </c>
      <c r="M360" s="74" t="str">
        <f>VLOOKUP($K360,'2 CODIFICATION'!D$8:E$64,2,"FAUX")</f>
        <v>Frais d'envoi</v>
      </c>
      <c r="N360" s="85">
        <f t="shared" si="36"/>
        <v>626100</v>
      </c>
      <c r="O360" s="14">
        <f t="shared" si="34"/>
        <v>-90</v>
      </c>
      <c r="P360" s="84">
        <f t="shared" si="35"/>
        <v>2022</v>
      </c>
      <c r="Q360" s="11" t="str">
        <f>VLOOKUP($N360,'2 CODIFICATION'!$G$5:$L$71,3,FALSE)</f>
        <v>Frais postaux</v>
      </c>
      <c r="R360" s="53" t="str">
        <f>VLOOKUP($N360,'2 CODIFICATION'!$G$5:$L$71,4,FALSE)</f>
        <v>chges</v>
      </c>
      <c r="S360" s="53">
        <f>VLOOKUP($N360,'2 CODIFICATION'!$G$5:$L$71,5,FALSE)</f>
        <v>62</v>
      </c>
      <c r="T360" s="11" t="str">
        <f>VLOOKUP($N360,'2 CODIFICATION'!$G$5:$L$71,6,FALSE)</f>
        <v>Autres services extérieurs</v>
      </c>
    </row>
    <row r="361" spans="1:20" s="78" customFormat="1" ht="15" hidden="1" customHeight="1">
      <c r="A361" s="78" t="s">
        <v>528</v>
      </c>
      <c r="B361" s="78" t="s">
        <v>79</v>
      </c>
      <c r="C361" s="79"/>
      <c r="D361" s="80">
        <v>44926</v>
      </c>
      <c r="E361" s="79" t="s">
        <v>187</v>
      </c>
      <c r="F361" s="147"/>
      <c r="G361" s="81"/>
      <c r="H361" s="82">
        <v>120</v>
      </c>
      <c r="I361" s="471">
        <f t="shared" si="32"/>
        <v>8099.0399999999972</v>
      </c>
      <c r="J361" s="74" t="s">
        <v>273</v>
      </c>
      <c r="K361" s="20">
        <v>6262</v>
      </c>
      <c r="L361" s="74" t="str">
        <f>VLOOKUP($J361,'2 CODIFICATION'!A$5:B$21,2,"FAUX")</f>
        <v>ADMINIST ET FONCT</v>
      </c>
      <c r="M361" s="74" t="str">
        <f>VLOOKUP($K361,'2 CODIFICATION'!D$8:E$64,2,"FAUX")</f>
        <v>Téléphone</v>
      </c>
      <c r="N361" s="85">
        <f t="shared" si="36"/>
        <v>626200</v>
      </c>
      <c r="O361" s="14">
        <f t="shared" si="34"/>
        <v>-120</v>
      </c>
      <c r="P361" s="84">
        <f t="shared" si="35"/>
        <v>2022</v>
      </c>
      <c r="Q361" s="11" t="str">
        <f>VLOOKUP($N361,'2 CODIFICATION'!$G$5:$L$71,3,FALSE)</f>
        <v>Frais de téléphone, fax et portables</v>
      </c>
      <c r="R361" s="53" t="str">
        <f>VLOOKUP($N361,'2 CODIFICATION'!$G$5:$L$71,4,FALSE)</f>
        <v>chges</v>
      </c>
      <c r="S361" s="53">
        <f>VLOOKUP($N361,'2 CODIFICATION'!$G$5:$L$71,5,FALSE)</f>
        <v>62</v>
      </c>
      <c r="T361" s="11" t="str">
        <f>VLOOKUP($N361,'2 CODIFICATION'!$G$5:$L$71,6,FALSE)</f>
        <v>Autres services extérieurs</v>
      </c>
    </row>
    <row r="362" spans="1:20" s="78" customFormat="1" ht="15" hidden="1" customHeight="1">
      <c r="A362" s="78" t="s">
        <v>528</v>
      </c>
      <c r="B362" s="78" t="s">
        <v>79</v>
      </c>
      <c r="C362" s="79"/>
      <c r="D362" s="80">
        <v>44926</v>
      </c>
      <c r="E362" s="79" t="s">
        <v>188</v>
      </c>
      <c r="F362" s="147"/>
      <c r="G362" s="81"/>
      <c r="H362" s="82">
        <v>200</v>
      </c>
      <c r="I362" s="471">
        <f t="shared" si="32"/>
        <v>7899.0399999999972</v>
      </c>
      <c r="J362" s="74" t="s">
        <v>273</v>
      </c>
      <c r="K362" s="20">
        <v>6281</v>
      </c>
      <c r="L362" s="74" t="str">
        <f>VLOOKUP($J362,'2 CODIFICATION'!A$5:B$21,2,"FAUX")</f>
        <v>ADMINIST ET FONCT</v>
      </c>
      <c r="M362" s="74" t="str">
        <f>VLOOKUP($K362,'2 CODIFICATION'!D$8:E$64,2,"FAUX")</f>
        <v>adhésion Hellasso+ autres</v>
      </c>
      <c r="N362" s="85">
        <f t="shared" si="36"/>
        <v>628100</v>
      </c>
      <c r="O362" s="14">
        <f t="shared" si="34"/>
        <v>-200</v>
      </c>
      <c r="P362" s="84">
        <f t="shared" si="35"/>
        <v>2022</v>
      </c>
      <c r="Q362" s="11" t="str">
        <f>VLOOKUP($N362,'2 CODIFICATION'!$G$5:$L$71,3,FALSE)</f>
        <v>adhesion Hellasso</v>
      </c>
      <c r="R362" s="53" t="str">
        <f>VLOOKUP($N362,'2 CODIFICATION'!$G$5:$L$71,4,FALSE)</f>
        <v>chges</v>
      </c>
      <c r="S362" s="53">
        <f>VLOOKUP($N362,'2 CODIFICATION'!$G$5:$L$71,5,FALSE)</f>
        <v>62</v>
      </c>
      <c r="T362" s="11" t="str">
        <f>VLOOKUP($N362,'2 CODIFICATION'!$G$5:$L$71,6,FALSE)</f>
        <v>Autres services extérieurs</v>
      </c>
    </row>
    <row r="363" spans="1:20" s="78" customFormat="1" ht="15" hidden="1" customHeight="1">
      <c r="A363" s="78" t="s">
        <v>528</v>
      </c>
      <c r="B363" s="78" t="s">
        <v>79</v>
      </c>
      <c r="C363" s="79"/>
      <c r="D363" s="80">
        <v>44926</v>
      </c>
      <c r="E363" s="79" t="s">
        <v>434</v>
      </c>
      <c r="F363" s="147"/>
      <c r="G363" s="81"/>
      <c r="H363" s="82">
        <v>8100</v>
      </c>
      <c r="I363" s="471">
        <f t="shared" si="32"/>
        <v>-200.96000000000276</v>
      </c>
      <c r="J363" s="84" t="s">
        <v>198</v>
      </c>
      <c r="K363" s="20">
        <v>6110</v>
      </c>
      <c r="L363" s="74" t="str">
        <f>VLOOKUP($J363,'2 CODIFICATION'!A$5:B$21,2,"FAUX")</f>
        <v>HYGIENE MENSTRUELLE</v>
      </c>
      <c r="M363" s="74" t="str">
        <f>VLOOKUP($K363,'2 CODIFICATION'!D$8:E$64,2,"FAUX")</f>
        <v>Sous traitance projet</v>
      </c>
      <c r="N363" s="85">
        <f t="shared" si="36"/>
        <v>611000</v>
      </c>
      <c r="O363" s="14">
        <f t="shared" si="34"/>
        <v>-8100</v>
      </c>
      <c r="P363" s="84">
        <f t="shared" si="35"/>
        <v>2022</v>
      </c>
      <c r="Q363" s="11" t="str">
        <f>VLOOKUP($N363,'2 CODIFICATION'!$G$5:$L$71,3,FALSE)</f>
        <v xml:space="preserve">Sous-traitance générale </v>
      </c>
      <c r="R363" s="53" t="str">
        <f>VLOOKUP($N363,'2 CODIFICATION'!$G$5:$L$71,4,FALSE)</f>
        <v>chges</v>
      </c>
      <c r="S363" s="53">
        <f>VLOOKUP($N363,'2 CODIFICATION'!$G$5:$L$71,5,FALSE)</f>
        <v>61</v>
      </c>
      <c r="T363" s="11" t="str">
        <f>VLOOKUP($N363,'2 CODIFICATION'!$G$5:$L$71,6,FALSE)</f>
        <v>Services extérieurs</v>
      </c>
    </row>
    <row r="364" spans="1:20" s="78" customFormat="1" ht="15" hidden="1" customHeight="1">
      <c r="A364" s="78" t="s">
        <v>528</v>
      </c>
      <c r="B364" s="78" t="s">
        <v>79</v>
      </c>
      <c r="C364" s="79"/>
      <c r="D364" s="80">
        <v>44926</v>
      </c>
      <c r="E364" s="79" t="s">
        <v>434</v>
      </c>
      <c r="F364" s="147"/>
      <c r="G364" s="81"/>
      <c r="H364" s="82">
        <v>609</v>
      </c>
      <c r="I364" s="471">
        <f t="shared" si="32"/>
        <v>-809.96000000000276</v>
      </c>
      <c r="J364" s="84" t="s">
        <v>198</v>
      </c>
      <c r="K364" s="20">
        <v>6068</v>
      </c>
      <c r="L364" s="74" t="str">
        <f>VLOOKUP($J364,'2 CODIFICATION'!A$5:B$21,2,"FAUX")</f>
        <v>HYGIENE MENSTRUELLE</v>
      </c>
      <c r="M364" s="74" t="str">
        <f>VLOOKUP($K364,'2 CODIFICATION'!D$8:E$64,2,"FAUX")</f>
        <v>Autres matières et fournitures</v>
      </c>
      <c r="N364" s="85">
        <f t="shared" si="36"/>
        <v>606800</v>
      </c>
      <c r="O364" s="14">
        <f t="shared" si="34"/>
        <v>-609</v>
      </c>
      <c r="P364" s="84">
        <f t="shared" si="35"/>
        <v>2022</v>
      </c>
      <c r="Q364" s="11" t="str">
        <f>VLOOKUP($N364,'2 CODIFICATION'!$G$5:$L$71,3,FALSE)</f>
        <v>Autres matières et fournitures</v>
      </c>
      <c r="R364" s="53" t="str">
        <f>VLOOKUP($N364,'2 CODIFICATION'!$G$5:$L$71,4,FALSE)</f>
        <v>chges</v>
      </c>
      <c r="S364" s="53">
        <f>VLOOKUP($N364,'2 CODIFICATION'!$G$5:$L$71,5,FALSE)</f>
        <v>60</v>
      </c>
      <c r="T364" s="11" t="str">
        <f>VLOOKUP($N364,'2 CODIFICATION'!$G$5:$L$71,6,FALSE)</f>
        <v>Achat</v>
      </c>
    </row>
    <row r="365" spans="1:20" s="78" customFormat="1" ht="15" hidden="1" customHeight="1">
      <c r="A365" s="78" t="s">
        <v>528</v>
      </c>
      <c r="B365" s="78" t="s">
        <v>79</v>
      </c>
      <c r="C365" s="79"/>
      <c r="D365" s="80">
        <v>44926</v>
      </c>
      <c r="E365" s="79" t="s">
        <v>434</v>
      </c>
      <c r="F365" s="147"/>
      <c r="G365" s="81"/>
      <c r="H365" s="82">
        <v>1411</v>
      </c>
      <c r="I365" s="471">
        <f t="shared" si="32"/>
        <v>-2220.9600000000028</v>
      </c>
      <c r="J365" s="84" t="s">
        <v>198</v>
      </c>
      <c r="K365" s="20">
        <v>6250</v>
      </c>
      <c r="L365" s="74" t="str">
        <f>VLOOKUP($J365,'2 CODIFICATION'!A$5:B$21,2,"FAUX")</f>
        <v>HYGIENE MENSTRUELLE</v>
      </c>
      <c r="M365" s="74" t="str">
        <f>VLOOKUP($K365,'2 CODIFICATION'!D$8:E$64,2,"FAUX")</f>
        <v>déplacements</v>
      </c>
      <c r="N365" s="85">
        <f t="shared" si="36"/>
        <v>625000</v>
      </c>
      <c r="O365" s="14">
        <f t="shared" si="34"/>
        <v>-1411</v>
      </c>
      <c r="P365" s="84">
        <f t="shared" si="35"/>
        <v>2022</v>
      </c>
      <c r="Q365" s="11" t="str">
        <f>VLOOKUP($N365,'2 CODIFICATION'!$G$5:$L$71,3,FALSE)</f>
        <v>Déplacements, missions et réceptions</v>
      </c>
      <c r="R365" s="53" t="str">
        <f>VLOOKUP($N365,'2 CODIFICATION'!$G$5:$L$71,4,FALSE)</f>
        <v>chges</v>
      </c>
      <c r="S365" s="53">
        <f>VLOOKUP($N365,'2 CODIFICATION'!$G$5:$L$71,5,FALSE)</f>
        <v>62</v>
      </c>
      <c r="T365" s="11" t="str">
        <f>VLOOKUP($N365,'2 CODIFICATION'!$G$5:$L$71,6,FALSE)</f>
        <v>Autres services extérieurs</v>
      </c>
    </row>
    <row r="366" spans="1:20" s="78" customFormat="1" ht="15" hidden="1" customHeight="1">
      <c r="A366" s="78" t="s">
        <v>528</v>
      </c>
      <c r="B366" s="78" t="s">
        <v>79</v>
      </c>
      <c r="C366" s="79"/>
      <c r="D366" s="80">
        <v>44926</v>
      </c>
      <c r="E366" s="79" t="s">
        <v>434</v>
      </c>
      <c r="F366" s="147"/>
      <c r="G366" s="81"/>
      <c r="H366" s="82">
        <v>500</v>
      </c>
      <c r="I366" s="471">
        <f t="shared" si="32"/>
        <v>-2720.9600000000028</v>
      </c>
      <c r="J366" s="84" t="s">
        <v>198</v>
      </c>
      <c r="K366" s="20">
        <v>6280</v>
      </c>
      <c r="L366" s="74" t="str">
        <f>VLOOKUP($J366,'2 CODIFICATION'!A$5:B$21,2,"FAUX")</f>
        <v>HYGIENE MENSTRUELLE</v>
      </c>
      <c r="M366" s="74" t="str">
        <f>VLOOKUP($K366,'2 CODIFICATION'!D$8:E$64,2,"FAUX")</f>
        <v>Divers</v>
      </c>
      <c r="N366" s="85">
        <f t="shared" si="36"/>
        <v>628000</v>
      </c>
      <c r="O366" s="14">
        <f t="shared" si="34"/>
        <v>-500</v>
      </c>
      <c r="P366" s="84">
        <f t="shared" si="35"/>
        <v>2022</v>
      </c>
      <c r="Q366" s="11" t="str">
        <f>VLOOKUP($N366,'2 CODIFICATION'!$G$5:$L$71,3,FALSE)</f>
        <v>Divers</v>
      </c>
      <c r="R366" s="53" t="str">
        <f>VLOOKUP($N366,'2 CODIFICATION'!$G$5:$L$71,4,FALSE)</f>
        <v>chges</v>
      </c>
      <c r="S366" s="53">
        <f>VLOOKUP($N366,'2 CODIFICATION'!$G$5:$L$71,5,FALSE)</f>
        <v>62</v>
      </c>
      <c r="T366" s="11" t="str">
        <f>VLOOKUP($N366,'2 CODIFICATION'!$G$5:$L$71,6,FALSE)</f>
        <v>Autres services extérieurs</v>
      </c>
    </row>
    <row r="367" spans="1:20" s="78" customFormat="1" ht="15" hidden="1" customHeight="1">
      <c r="A367" s="78" t="s">
        <v>528</v>
      </c>
      <c r="B367" s="78" t="s">
        <v>79</v>
      </c>
      <c r="C367" s="79"/>
      <c r="D367" s="80">
        <v>44926</v>
      </c>
      <c r="E367" s="79" t="s">
        <v>193</v>
      </c>
      <c r="F367" s="147"/>
      <c r="G367" s="81"/>
      <c r="H367" s="82">
        <v>2000</v>
      </c>
      <c r="I367" s="471">
        <f t="shared" si="32"/>
        <v>-4720.9600000000028</v>
      </c>
      <c r="J367" s="84" t="s">
        <v>198</v>
      </c>
      <c r="K367" s="20">
        <v>8640</v>
      </c>
      <c r="L367" s="74" t="str">
        <f>VLOOKUP($J367,'2 CODIFICATION'!A$5:B$21,2,"FAUX")</f>
        <v>HYGIENE MENSTRUELLE</v>
      </c>
      <c r="M367" s="74" t="str">
        <f>VLOOKUP($K367,'2 CODIFICATION'!D$8:E$64,2,"FAUX")</f>
        <v>Personnels bénévoles</v>
      </c>
      <c r="N367" s="85">
        <f t="shared" si="36"/>
        <v>864000</v>
      </c>
      <c r="O367" s="14">
        <f t="shared" si="34"/>
        <v>-2000</v>
      </c>
      <c r="P367" s="84">
        <f t="shared" si="35"/>
        <v>2022</v>
      </c>
      <c r="Q367" s="11" t="str">
        <f>VLOOKUP($N367,'2 CODIFICATION'!$G$5:$L$71,3,FALSE)</f>
        <v>Personnels bénévoles</v>
      </c>
      <c r="R367" s="53" t="str">
        <f>VLOOKUP($N367,'2 CODIFICATION'!$G$5:$L$71,4,FALSE)</f>
        <v>chges</v>
      </c>
      <c r="S367" s="53">
        <f>VLOOKUP($N367,'2 CODIFICATION'!$G$5:$L$71,5,FALSE)</f>
        <v>86</v>
      </c>
      <c r="T367" s="11" t="str">
        <f>VLOOKUP($N367,'2 CODIFICATION'!$G$5:$L$71,6,FALSE)</f>
        <v>Contributions volontaires</v>
      </c>
    </row>
    <row r="368" spans="1:20" s="78" customFormat="1" ht="15" hidden="1" customHeight="1">
      <c r="A368" s="78" t="s">
        <v>528</v>
      </c>
      <c r="B368" s="78" t="s">
        <v>79</v>
      </c>
      <c r="C368" s="79"/>
      <c r="D368" s="80">
        <v>44926</v>
      </c>
      <c r="E368" s="79" t="s">
        <v>195</v>
      </c>
      <c r="F368" s="147"/>
      <c r="G368" s="81"/>
      <c r="H368" s="82">
        <v>8440</v>
      </c>
      <c r="I368" s="471">
        <f t="shared" si="32"/>
        <v>-13160.960000000003</v>
      </c>
      <c r="J368" s="74" t="s">
        <v>273</v>
      </c>
      <c r="K368" s="20">
        <v>8640</v>
      </c>
      <c r="L368" s="74" t="str">
        <f>VLOOKUP($J368,'2 CODIFICATION'!A$5:B$21,2,"FAUX")</f>
        <v>ADMINIST ET FONCT</v>
      </c>
      <c r="M368" s="74" t="str">
        <f>VLOOKUP($K368,'2 CODIFICATION'!D$8:E$64,2,"FAUX")</f>
        <v>Personnels bénévoles</v>
      </c>
      <c r="N368" s="85">
        <f t="shared" si="36"/>
        <v>864000</v>
      </c>
      <c r="O368" s="14">
        <f t="shared" si="34"/>
        <v>-8440</v>
      </c>
      <c r="P368" s="84">
        <f t="shared" si="35"/>
        <v>2022</v>
      </c>
      <c r="Q368" s="11" t="str">
        <f>VLOOKUP($N368,'2 CODIFICATION'!$G$5:$L$71,3,FALSE)</f>
        <v>Personnels bénévoles</v>
      </c>
      <c r="R368" s="53" t="str">
        <f>VLOOKUP($N368,'2 CODIFICATION'!$G$5:$L$71,4,FALSE)</f>
        <v>chges</v>
      </c>
      <c r="S368" s="53">
        <f>VLOOKUP($N368,'2 CODIFICATION'!$G$5:$L$71,5,FALSE)</f>
        <v>86</v>
      </c>
      <c r="T368" s="11" t="str">
        <f>VLOOKUP($N368,'2 CODIFICATION'!$G$5:$L$71,6,FALSE)</f>
        <v>Contributions volontaires</v>
      </c>
    </row>
    <row r="369" spans="1:20" s="78" customFormat="1" ht="15" hidden="1" customHeight="1">
      <c r="A369" s="78" t="s">
        <v>528</v>
      </c>
      <c r="B369" s="78" t="s">
        <v>79</v>
      </c>
      <c r="C369" s="79"/>
      <c r="D369" s="80">
        <v>44926</v>
      </c>
      <c r="E369" s="79" t="s">
        <v>180</v>
      </c>
      <c r="F369" s="147"/>
      <c r="G369" s="81">
        <f>1000</f>
        <v>1000</v>
      </c>
      <c r="H369" s="82"/>
      <c r="I369" s="471">
        <f t="shared" si="32"/>
        <v>-12160.960000000003</v>
      </c>
      <c r="J369" s="74" t="s">
        <v>273</v>
      </c>
      <c r="K369" s="20">
        <v>7080</v>
      </c>
      <c r="L369" s="74" t="str">
        <f>VLOOKUP($J369,'2 CODIFICATION'!A$5:B$21,2,"FAUX")</f>
        <v>ADMINIST ET FONCT</v>
      </c>
      <c r="M369" s="74" t="str">
        <f>VLOOKUP($K369,'2 CODIFICATION'!D$8:E$64,2,"FAUX")</f>
        <v>produits activités annexes</v>
      </c>
      <c r="N369" s="85">
        <f t="shared" si="36"/>
        <v>708000</v>
      </c>
      <c r="O369" s="14">
        <f t="shared" si="34"/>
        <v>1000</v>
      </c>
      <c r="P369" s="84">
        <f t="shared" si="35"/>
        <v>2022</v>
      </c>
      <c r="Q369" s="11" t="str">
        <f>VLOOKUP($N369,'2 CODIFICATION'!$G$5:$L$71,3,FALSE)</f>
        <v>Produits des activités annexes</v>
      </c>
      <c r="R369" s="53" t="str">
        <f>VLOOKUP($N369,'2 CODIFICATION'!$G$5:$L$71,4,FALSE)</f>
        <v>pdts</v>
      </c>
      <c r="S369" s="53">
        <f>VLOOKUP($N369,'2 CODIFICATION'!$G$5:$L$71,5,FALSE)</f>
        <v>70</v>
      </c>
      <c r="T369" s="11" t="str">
        <f>VLOOKUP($N369,'2 CODIFICATION'!$G$5:$L$71,6,FALSE)</f>
        <v>Ventes et prestations de services</v>
      </c>
    </row>
    <row r="370" spans="1:20" s="78" customFormat="1" ht="15" hidden="1" customHeight="1">
      <c r="A370" s="78" t="s">
        <v>528</v>
      </c>
      <c r="B370" s="78" t="s">
        <v>79</v>
      </c>
      <c r="C370" s="79"/>
      <c r="D370" s="80">
        <v>44926</v>
      </c>
      <c r="E370" s="79" t="s">
        <v>183</v>
      </c>
      <c r="F370" s="147"/>
      <c r="G370" s="81">
        <v>4000</v>
      </c>
      <c r="H370" s="82"/>
      <c r="I370" s="471">
        <f t="shared" si="32"/>
        <v>-8160.9600000000028</v>
      </c>
      <c r="J370" s="84" t="s">
        <v>198</v>
      </c>
      <c r="K370" s="20">
        <v>7420</v>
      </c>
      <c r="L370" s="74" t="str">
        <f>VLOOKUP($J370,'2 CODIFICATION'!A$5:B$21,2,"FAUX")</f>
        <v>HYGIENE MENSTRUELLE</v>
      </c>
      <c r="M370" s="74" t="str">
        <f>VLOOKUP($K370,'2 CODIFICATION'!D$8:E$64,2,"FAUX")</f>
        <v>Subvention Agence Micro Projet</v>
      </c>
      <c r="N370" s="85">
        <f t="shared" si="36"/>
        <v>742000</v>
      </c>
      <c r="O370" s="14">
        <f t="shared" si="34"/>
        <v>4000</v>
      </c>
      <c r="P370" s="84">
        <f t="shared" si="35"/>
        <v>2022</v>
      </c>
      <c r="Q370" s="11" t="str">
        <f>VLOOKUP($N370,'2 CODIFICATION'!$G$5:$L$71,3,FALSE)</f>
        <v>AMP-GRATITUDE</v>
      </c>
      <c r="R370" s="53" t="str">
        <f>VLOOKUP($N370,'2 CODIFICATION'!$G$5:$L$71,4,FALSE)</f>
        <v>pdts</v>
      </c>
      <c r="S370" s="53">
        <f>VLOOKUP($N370,'2 CODIFICATION'!$G$5:$L$71,5,FALSE)</f>
        <v>74</v>
      </c>
      <c r="T370" s="11" t="str">
        <f>VLOOKUP($N370,'2 CODIFICATION'!$G$5:$L$71,6,FALSE)</f>
        <v>Subventions d'exploitation</v>
      </c>
    </row>
    <row r="371" spans="1:20" s="78" customFormat="1" ht="15" hidden="1" customHeight="1">
      <c r="A371" s="78" t="s">
        <v>528</v>
      </c>
      <c r="B371" s="78" t="s">
        <v>79</v>
      </c>
      <c r="C371" s="79"/>
      <c r="D371" s="80">
        <v>44926</v>
      </c>
      <c r="E371" s="79" t="s">
        <v>184</v>
      </c>
      <c r="F371" s="147"/>
      <c r="G371" s="81">
        <f>10000-5000</f>
        <v>5000</v>
      </c>
      <c r="H371" s="82"/>
      <c r="I371" s="471">
        <f t="shared" si="32"/>
        <v>-3160.9600000000028</v>
      </c>
      <c r="J371" s="84" t="s">
        <v>198</v>
      </c>
      <c r="K371" s="20">
        <v>7410</v>
      </c>
      <c r="L371" s="74" t="str">
        <f>VLOOKUP($J371,'2 CODIFICATION'!A$5:B$21,2,"FAUX")</f>
        <v>HYGIENE MENSTRUELLE</v>
      </c>
      <c r="M371" s="74" t="str">
        <f>VLOOKUP($K371,'2 CODIFICATION'!D$8:E$64,2,"FAUX")</f>
        <v>Subventions Région Nouvelle Aquitaine</v>
      </c>
      <c r="N371" s="85">
        <f t="shared" si="36"/>
        <v>741000</v>
      </c>
      <c r="O371" s="14">
        <f t="shared" si="34"/>
        <v>5000</v>
      </c>
      <c r="P371" s="84">
        <f t="shared" si="35"/>
        <v>2022</v>
      </c>
      <c r="Q371" s="11" t="str">
        <f>VLOOKUP($N371,'2 CODIFICATION'!$G$5:$L$71,3,FALSE)</f>
        <v>Région Nouvelle-Aquitaine</v>
      </c>
      <c r="R371" s="53" t="str">
        <f>VLOOKUP($N371,'2 CODIFICATION'!$G$5:$L$71,4,FALSE)</f>
        <v>pdts</v>
      </c>
      <c r="S371" s="53">
        <f>VLOOKUP($N371,'2 CODIFICATION'!$G$5:$L$71,5,FALSE)</f>
        <v>74</v>
      </c>
      <c r="T371" s="11" t="str">
        <f>VLOOKUP($N371,'2 CODIFICATION'!$G$5:$L$71,6,FALSE)</f>
        <v>Subventions d'exploitation</v>
      </c>
    </row>
    <row r="372" spans="1:20" s="78" customFormat="1" ht="15" hidden="1" customHeight="1">
      <c r="A372" s="78" t="s">
        <v>528</v>
      </c>
      <c r="B372" s="78" t="s">
        <v>79</v>
      </c>
      <c r="C372" s="79"/>
      <c r="D372" s="80">
        <v>44926</v>
      </c>
      <c r="E372" s="87" t="s">
        <v>186</v>
      </c>
      <c r="F372" s="149"/>
      <c r="G372" s="81">
        <v>840</v>
      </c>
      <c r="H372" s="82"/>
      <c r="I372" s="471">
        <f t="shared" si="32"/>
        <v>-2320.9600000000028</v>
      </c>
      <c r="J372" s="74" t="s">
        <v>273</v>
      </c>
      <c r="K372" s="20">
        <v>7771</v>
      </c>
      <c r="L372" s="74" t="str">
        <f>VLOOKUP($J372,'2 CODIFICATION'!A$5:B$21,2,"FAUX")</f>
        <v>ADMINIST ET FONCT</v>
      </c>
      <c r="M372" s="74" t="str">
        <f>VLOOKUP($K372,'2 CODIFICATION'!D$8:E$64,2,"FAUX")</f>
        <v>Dons et participations à l"association</v>
      </c>
      <c r="N372" s="85">
        <f t="shared" si="36"/>
        <v>777100</v>
      </c>
      <c r="O372" s="14">
        <f t="shared" si="34"/>
        <v>840</v>
      </c>
      <c r="P372" s="84">
        <f t="shared" si="35"/>
        <v>2022</v>
      </c>
      <c r="Q372" s="11" t="str">
        <f>VLOOKUP($N372,'2 CODIFICATION'!$G$5:$L$71,3,FALSE)</f>
        <v>Dons et autres mises à dispositions gratuites</v>
      </c>
      <c r="R372" s="53" t="str">
        <f>VLOOKUP($N372,'2 CODIFICATION'!$G$5:$L$71,4,FALSE)</f>
        <v>pdts</v>
      </c>
      <c r="S372" s="53">
        <f>VLOOKUP($N372,'2 CODIFICATION'!$G$5:$L$71,5,FALSE)</f>
        <v>77</v>
      </c>
      <c r="T372" s="11" t="str">
        <f>VLOOKUP($N372,'2 CODIFICATION'!$G$5:$L$71,6,FALSE)</f>
        <v>Produits exceptionnels</v>
      </c>
    </row>
    <row r="373" spans="1:20" s="78" customFormat="1" ht="15" hidden="1" customHeight="1">
      <c r="A373" s="78" t="s">
        <v>528</v>
      </c>
      <c r="B373" s="78" t="s">
        <v>79</v>
      </c>
      <c r="C373" s="79"/>
      <c r="D373" s="80">
        <v>44926</v>
      </c>
      <c r="E373" s="87" t="s">
        <v>192</v>
      </c>
      <c r="F373" s="149"/>
      <c r="G373" s="81">
        <v>276.23</v>
      </c>
      <c r="H373" s="82"/>
      <c r="I373" s="471">
        <f t="shared" si="32"/>
        <v>-2044.7300000000027</v>
      </c>
      <c r="J373" s="74" t="s">
        <v>198</v>
      </c>
      <c r="K373" s="20">
        <v>7581</v>
      </c>
      <c r="L373" s="74" t="str">
        <f>VLOOKUP($J373,'2 CODIFICATION'!A$5:B$21,2,"FAUX")</f>
        <v>HYGIENE MENSTRUELLE</v>
      </c>
      <c r="M373" s="74" t="str">
        <f>VLOOKUP($K373,'2 CODIFICATION'!D$8:E$64,2,"FAUX")</f>
        <v>Adhésions association</v>
      </c>
      <c r="N373" s="85">
        <f t="shared" si="36"/>
        <v>758100</v>
      </c>
      <c r="O373" s="14">
        <f t="shared" si="34"/>
        <v>276.23</v>
      </c>
      <c r="P373" s="84">
        <f t="shared" si="35"/>
        <v>2022</v>
      </c>
      <c r="Q373" s="11" t="str">
        <f>VLOOKUP($N373,'2 CODIFICATION'!$G$5:$L$71,3,FALSE)</f>
        <v>Cotisations individuelles et associatives</v>
      </c>
      <c r="R373" s="53" t="str">
        <f>VLOOKUP($N373,'2 CODIFICATION'!$G$5:$L$71,4,FALSE)</f>
        <v>pdts</v>
      </c>
      <c r="S373" s="53">
        <f>VLOOKUP($N373,'2 CODIFICATION'!$G$5:$L$71,5,FALSE)</f>
        <v>75</v>
      </c>
      <c r="T373" s="11" t="str">
        <f>VLOOKUP($N373,'2 CODIFICATION'!$G$5:$L$71,6,FALSE)</f>
        <v>Autres produits de gestion courante</v>
      </c>
    </row>
    <row r="374" spans="1:20" s="78" customFormat="1" ht="15" hidden="1" customHeight="1">
      <c r="A374" s="78" t="s">
        <v>528</v>
      </c>
      <c r="B374" s="78" t="s">
        <v>79</v>
      </c>
      <c r="C374" s="79"/>
      <c r="D374" s="80">
        <v>44926</v>
      </c>
      <c r="E374" s="87" t="s">
        <v>194</v>
      </c>
      <c r="F374" s="149"/>
      <c r="G374" s="81">
        <v>2000</v>
      </c>
      <c r="H374" s="82"/>
      <c r="I374" s="471">
        <f t="shared" si="32"/>
        <v>-44.730000000002747</v>
      </c>
      <c r="J374" s="84" t="s">
        <v>198</v>
      </c>
      <c r="K374" s="20">
        <v>8700</v>
      </c>
      <c r="L374" s="74" t="str">
        <f>VLOOKUP($J374,'2 CODIFICATION'!A$5:B$21,2,"FAUX")</f>
        <v>HYGIENE MENSTRUELLE</v>
      </c>
      <c r="M374" s="74" t="str">
        <f>VLOOKUP($K374,'2 CODIFICATION'!D$8:E$64,2,"FAUX")</f>
        <v>Bénévolat</v>
      </c>
      <c r="N374" s="161">
        <f t="shared" si="36"/>
        <v>870000</v>
      </c>
      <c r="O374" s="14">
        <f t="shared" si="34"/>
        <v>2000</v>
      </c>
      <c r="P374" s="84">
        <f t="shared" si="35"/>
        <v>2022</v>
      </c>
      <c r="Q374" s="11" t="str">
        <f>VLOOKUP($N374,'2 CODIFICATION'!$G$5:$L$71,3,FALSE)</f>
        <v>Bénévolat</v>
      </c>
      <c r="R374" s="53" t="str">
        <f>VLOOKUP($N374,'2 CODIFICATION'!$G$5:$L$71,4,FALSE)</f>
        <v>pdts</v>
      </c>
      <c r="S374" s="53">
        <f>VLOOKUP($N374,'2 CODIFICATION'!$G$5:$L$71,5,FALSE)</f>
        <v>87</v>
      </c>
      <c r="T374" s="11" t="str">
        <f>VLOOKUP($N374,'2 CODIFICATION'!$G$5:$L$71,6,FALSE)</f>
        <v>Contributions volontaires</v>
      </c>
    </row>
    <row r="375" spans="1:20" s="78" customFormat="1" ht="15" hidden="1" customHeight="1">
      <c r="A375" s="78" t="s">
        <v>528</v>
      </c>
      <c r="B375" s="78" t="s">
        <v>79</v>
      </c>
      <c r="C375" s="79"/>
      <c r="D375" s="80">
        <v>44926</v>
      </c>
      <c r="E375" s="87" t="s">
        <v>196</v>
      </c>
      <c r="F375" s="149"/>
      <c r="G375" s="81">
        <v>8440</v>
      </c>
      <c r="H375" s="82"/>
      <c r="I375" s="471">
        <f t="shared" si="32"/>
        <v>8395.2699999999968</v>
      </c>
      <c r="J375" s="84" t="s">
        <v>273</v>
      </c>
      <c r="K375" s="20">
        <v>8700</v>
      </c>
      <c r="L375" s="74" t="str">
        <f>VLOOKUP($J375,'2 CODIFICATION'!A$5:B$21,2,"FAUX")</f>
        <v>ADMINIST ET FONCT</v>
      </c>
      <c r="M375" s="74" t="str">
        <f>VLOOKUP($K375,'2 CODIFICATION'!D$8:E$64,2,"FAUX")</f>
        <v>Bénévolat</v>
      </c>
      <c r="N375" s="161">
        <f t="shared" si="36"/>
        <v>870000</v>
      </c>
      <c r="O375" s="14">
        <f t="shared" si="34"/>
        <v>8440</v>
      </c>
      <c r="P375" s="84">
        <f t="shared" si="35"/>
        <v>2022</v>
      </c>
      <c r="Q375" s="11" t="str">
        <f>VLOOKUP($N375,'2 CODIFICATION'!$G$5:$L$71,3,FALSE)</f>
        <v>Bénévolat</v>
      </c>
      <c r="R375" s="53" t="str">
        <f>VLOOKUP($N375,'2 CODIFICATION'!$G$5:$L$71,4,FALSE)</f>
        <v>pdts</v>
      </c>
      <c r="S375" s="53">
        <f>VLOOKUP($N375,'2 CODIFICATION'!$G$5:$L$71,5,FALSE)</f>
        <v>87</v>
      </c>
      <c r="T375" s="11" t="str">
        <f>VLOOKUP($N375,'2 CODIFICATION'!$G$5:$L$71,6,FALSE)</f>
        <v>Contributions volontaires</v>
      </c>
    </row>
    <row r="376" spans="1:20" ht="21.5" hidden="1" customHeight="1">
      <c r="A376" s="78" t="s">
        <v>528</v>
      </c>
      <c r="B376" s="364" t="s">
        <v>79</v>
      </c>
      <c r="C376" s="365">
        <v>2</v>
      </c>
      <c r="D376" s="369">
        <v>44589</v>
      </c>
      <c r="E376" s="370" t="s">
        <v>436</v>
      </c>
      <c r="F376" s="371" t="s">
        <v>437</v>
      </c>
      <c r="G376" s="371"/>
      <c r="H376" s="372">
        <v>69.599999999999994</v>
      </c>
      <c r="I376" s="471">
        <f t="shared" si="32"/>
        <v>8325.6699999999964</v>
      </c>
      <c r="J376" s="386" t="s">
        <v>306</v>
      </c>
      <c r="K376" s="373">
        <v>6261</v>
      </c>
      <c r="L376" s="74" t="s">
        <v>268</v>
      </c>
      <c r="M376" s="74" t="s">
        <v>280</v>
      </c>
      <c r="N376" s="45">
        <v>626100</v>
      </c>
      <c r="O376" s="280">
        <v>-69.599999999999994</v>
      </c>
      <c r="P376" s="84">
        <v>2022</v>
      </c>
      <c r="Q376" s="281" t="s">
        <v>54</v>
      </c>
      <c r="R376" s="282" t="s">
        <v>157</v>
      </c>
      <c r="S376" s="282">
        <v>62</v>
      </c>
      <c r="T376" s="281" t="s">
        <v>43</v>
      </c>
    </row>
    <row r="377" spans="1:20" ht="21.5" hidden="1" customHeight="1">
      <c r="A377" s="78" t="s">
        <v>528</v>
      </c>
      <c r="B377" s="364" t="s">
        <v>79</v>
      </c>
      <c r="C377" s="365">
        <v>3</v>
      </c>
      <c r="D377" s="369">
        <v>44589</v>
      </c>
      <c r="E377" s="370" t="s">
        <v>438</v>
      </c>
      <c r="F377" s="371" t="s">
        <v>27</v>
      </c>
      <c r="G377" s="371"/>
      <c r="H377" s="372">
        <v>62.9</v>
      </c>
      <c r="I377" s="471">
        <f t="shared" si="32"/>
        <v>8262.7699999999968</v>
      </c>
      <c r="J377" s="386" t="s">
        <v>306</v>
      </c>
      <c r="K377" s="373">
        <v>6240</v>
      </c>
      <c r="L377" s="74" t="s">
        <v>268</v>
      </c>
      <c r="M377" s="74" t="s">
        <v>155</v>
      </c>
      <c r="N377" s="45">
        <v>624000</v>
      </c>
      <c r="O377" s="280">
        <v>-62.9</v>
      </c>
      <c r="P377" s="84">
        <v>2022</v>
      </c>
      <c r="Q377" s="281" t="s">
        <v>155</v>
      </c>
      <c r="R377" s="282" t="s">
        <v>157</v>
      </c>
      <c r="S377" s="282">
        <v>62</v>
      </c>
      <c r="T377" s="281" t="s">
        <v>62</v>
      </c>
    </row>
    <row r="378" spans="1:20" ht="14.5" hidden="1" customHeight="1">
      <c r="A378" s="78" t="s">
        <v>528</v>
      </c>
      <c r="B378" s="374" t="s">
        <v>79</v>
      </c>
      <c r="C378" s="383">
        <v>9</v>
      </c>
      <c r="D378" s="384">
        <v>44597</v>
      </c>
      <c r="E378" s="385" t="s">
        <v>444</v>
      </c>
      <c r="F378" s="383" t="s">
        <v>253</v>
      </c>
      <c r="G378" s="405">
        <v>100</v>
      </c>
      <c r="H378" s="406"/>
      <c r="I378" s="471">
        <f t="shared" si="32"/>
        <v>8362.7699999999968</v>
      </c>
      <c r="J378" s="386" t="s">
        <v>306</v>
      </c>
      <c r="K378" s="381">
        <v>7771</v>
      </c>
      <c r="L378" s="74" t="s">
        <v>268</v>
      </c>
      <c r="M378" s="74" t="s">
        <v>281</v>
      </c>
      <c r="N378" s="45">
        <v>777100</v>
      </c>
      <c r="O378" s="280">
        <v>100</v>
      </c>
      <c r="P378" s="84">
        <v>2022</v>
      </c>
      <c r="Q378" s="281" t="s">
        <v>67</v>
      </c>
      <c r="R378" s="282" t="s">
        <v>158</v>
      </c>
      <c r="S378" s="282">
        <v>77</v>
      </c>
      <c r="T378" s="281" t="s">
        <v>65</v>
      </c>
    </row>
    <row r="379" spans="1:20" ht="14.5" hidden="1" customHeight="1">
      <c r="A379" s="78" t="s">
        <v>528</v>
      </c>
      <c r="B379" s="374" t="s">
        <v>79</v>
      </c>
      <c r="C379" s="383">
        <v>10</v>
      </c>
      <c r="D379" s="384">
        <v>44597</v>
      </c>
      <c r="E379" s="383" t="s">
        <v>445</v>
      </c>
      <c r="F379" s="383" t="s">
        <v>253</v>
      </c>
      <c r="G379" s="405">
        <v>60</v>
      </c>
      <c r="H379" s="406"/>
      <c r="I379" s="471">
        <f t="shared" si="32"/>
        <v>8422.7699999999968</v>
      </c>
      <c r="J379" s="386" t="s">
        <v>306</v>
      </c>
      <c r="K379" s="381">
        <v>7771</v>
      </c>
      <c r="L379" s="74" t="s">
        <v>268</v>
      </c>
      <c r="M379" s="74" t="s">
        <v>281</v>
      </c>
      <c r="N379" s="45">
        <v>777100</v>
      </c>
      <c r="O379" s="280">
        <v>60</v>
      </c>
      <c r="P379" s="84">
        <v>2022</v>
      </c>
      <c r="Q379" s="281" t="s">
        <v>67</v>
      </c>
      <c r="R379" s="282" t="s">
        <v>158</v>
      </c>
      <c r="S379" s="282">
        <v>77</v>
      </c>
      <c r="T379" s="281" t="s">
        <v>65</v>
      </c>
    </row>
    <row r="380" spans="1:20" ht="14.5" hidden="1" customHeight="1">
      <c r="A380" s="78" t="s">
        <v>528</v>
      </c>
      <c r="B380" s="374" t="s">
        <v>79</v>
      </c>
      <c r="C380" s="383">
        <v>11</v>
      </c>
      <c r="D380" s="384">
        <v>44597</v>
      </c>
      <c r="E380" s="383" t="s">
        <v>446</v>
      </c>
      <c r="F380" s="383" t="s">
        <v>253</v>
      </c>
      <c r="G380" s="405">
        <v>100</v>
      </c>
      <c r="H380" s="406"/>
      <c r="I380" s="471">
        <f t="shared" si="32"/>
        <v>8522.7699999999968</v>
      </c>
      <c r="J380" s="386" t="s">
        <v>306</v>
      </c>
      <c r="K380" s="381">
        <v>7771</v>
      </c>
      <c r="L380" s="74" t="s">
        <v>268</v>
      </c>
      <c r="M380" s="74" t="s">
        <v>281</v>
      </c>
      <c r="N380" s="45">
        <v>777100</v>
      </c>
      <c r="O380" s="280">
        <v>100</v>
      </c>
      <c r="P380" s="84">
        <v>2022</v>
      </c>
      <c r="Q380" s="281" t="s">
        <v>67</v>
      </c>
      <c r="R380" s="282" t="s">
        <v>158</v>
      </c>
      <c r="S380" s="282">
        <v>77</v>
      </c>
      <c r="T380" s="281" t="s">
        <v>65</v>
      </c>
    </row>
    <row r="381" spans="1:20" ht="14.5" hidden="1" customHeight="1">
      <c r="A381" s="78" t="s">
        <v>528</v>
      </c>
      <c r="B381" s="374" t="s">
        <v>79</v>
      </c>
      <c r="C381" s="383">
        <v>14</v>
      </c>
      <c r="D381" s="384">
        <v>44619</v>
      </c>
      <c r="E381" s="383" t="s">
        <v>450</v>
      </c>
      <c r="F381" s="383" t="s">
        <v>27</v>
      </c>
      <c r="G381" s="406"/>
      <c r="H381" s="407">
        <v>153.9</v>
      </c>
      <c r="I381" s="471">
        <f t="shared" si="32"/>
        <v>8368.8699999999972</v>
      </c>
      <c r="J381" s="386" t="s">
        <v>306</v>
      </c>
      <c r="K381" s="381">
        <v>6250</v>
      </c>
      <c r="L381" s="74" t="s">
        <v>268</v>
      </c>
      <c r="M381" s="74" t="s">
        <v>313</v>
      </c>
      <c r="N381" s="45">
        <v>625000</v>
      </c>
      <c r="O381" s="280">
        <v>-153.9</v>
      </c>
      <c r="P381" s="84">
        <v>2022</v>
      </c>
      <c r="Q381" s="281" t="s">
        <v>48</v>
      </c>
      <c r="R381" s="282" t="s">
        <v>157</v>
      </c>
      <c r="S381" s="282">
        <v>62</v>
      </c>
      <c r="T381" s="281" t="s">
        <v>43</v>
      </c>
    </row>
    <row r="382" spans="1:20" ht="14.5" hidden="1" customHeight="1">
      <c r="A382" s="78" t="s">
        <v>528</v>
      </c>
      <c r="B382" s="374" t="s">
        <v>79</v>
      </c>
      <c r="C382" s="383">
        <v>15</v>
      </c>
      <c r="D382" s="384">
        <v>44619</v>
      </c>
      <c r="E382" s="383" t="s">
        <v>451</v>
      </c>
      <c r="F382" s="383" t="s">
        <v>27</v>
      </c>
      <c r="G382" s="406"/>
      <c r="H382" s="407">
        <v>123.9</v>
      </c>
      <c r="I382" s="471">
        <f t="shared" si="32"/>
        <v>8244.9699999999975</v>
      </c>
      <c r="J382" s="386" t="s">
        <v>306</v>
      </c>
      <c r="K382" s="381">
        <v>6250</v>
      </c>
      <c r="L382" s="74" t="s">
        <v>268</v>
      </c>
      <c r="M382" s="74" t="s">
        <v>313</v>
      </c>
      <c r="N382" s="45">
        <v>625000</v>
      </c>
      <c r="O382" s="280">
        <v>-123.9</v>
      </c>
      <c r="P382" s="84">
        <v>2022</v>
      </c>
      <c r="Q382" s="281" t="s">
        <v>48</v>
      </c>
      <c r="R382" s="282" t="s">
        <v>157</v>
      </c>
      <c r="S382" s="282">
        <v>62</v>
      </c>
      <c r="T382" s="281" t="s">
        <v>43</v>
      </c>
    </row>
    <row r="383" spans="1:20" ht="14.5" hidden="1" customHeight="1">
      <c r="A383" s="78" t="s">
        <v>528</v>
      </c>
      <c r="B383" s="374" t="s">
        <v>79</v>
      </c>
      <c r="C383" s="383">
        <v>16</v>
      </c>
      <c r="D383" s="384">
        <v>44619</v>
      </c>
      <c r="E383" s="383" t="s">
        <v>452</v>
      </c>
      <c r="F383" s="383" t="s">
        <v>253</v>
      </c>
      <c r="G383" s="405">
        <v>150</v>
      </c>
      <c r="H383" s="406"/>
      <c r="I383" s="471">
        <f t="shared" si="32"/>
        <v>8394.9699999999975</v>
      </c>
      <c r="J383" s="386" t="s">
        <v>306</v>
      </c>
      <c r="K383" s="381">
        <v>7771</v>
      </c>
      <c r="L383" s="74" t="s">
        <v>268</v>
      </c>
      <c r="M383" s="74" t="s">
        <v>281</v>
      </c>
      <c r="N383" s="45">
        <v>777100</v>
      </c>
      <c r="O383" s="280">
        <v>150</v>
      </c>
      <c r="P383" s="84">
        <v>2022</v>
      </c>
      <c r="Q383" s="281" t="s">
        <v>67</v>
      </c>
      <c r="R383" s="282" t="s">
        <v>158</v>
      </c>
      <c r="S383" s="282">
        <v>77</v>
      </c>
      <c r="T383" s="281" t="s">
        <v>65</v>
      </c>
    </row>
    <row r="384" spans="1:20" ht="14.5" hidden="1" customHeight="1">
      <c r="A384" s="78" t="s">
        <v>528</v>
      </c>
      <c r="B384" s="374" t="s">
        <v>79</v>
      </c>
      <c r="C384" s="383">
        <v>17</v>
      </c>
      <c r="D384" s="384">
        <v>44619</v>
      </c>
      <c r="E384" s="383" t="s">
        <v>453</v>
      </c>
      <c r="F384" s="383"/>
      <c r="G384" s="405">
        <v>50</v>
      </c>
      <c r="H384" s="406"/>
      <c r="I384" s="471">
        <f t="shared" si="32"/>
        <v>8444.9699999999975</v>
      </c>
      <c r="J384" s="386" t="s">
        <v>306</v>
      </c>
      <c r="K384" s="381">
        <v>7771</v>
      </c>
      <c r="L384" s="74" t="s">
        <v>268</v>
      </c>
      <c r="M384" s="74" t="s">
        <v>281</v>
      </c>
      <c r="N384" s="45">
        <v>777100</v>
      </c>
      <c r="O384" s="280">
        <v>50</v>
      </c>
      <c r="P384" s="84">
        <v>2022</v>
      </c>
      <c r="Q384" s="281" t="s">
        <v>67</v>
      </c>
      <c r="R384" s="282" t="s">
        <v>158</v>
      </c>
      <c r="S384" s="282">
        <v>77</v>
      </c>
      <c r="T384" s="281" t="s">
        <v>65</v>
      </c>
    </row>
    <row r="385" spans="1:20" ht="14.5" hidden="1" customHeight="1">
      <c r="A385" s="78" t="s">
        <v>528</v>
      </c>
      <c r="B385" s="374" t="s">
        <v>79</v>
      </c>
      <c r="C385" s="383">
        <v>20</v>
      </c>
      <c r="D385" s="384">
        <v>44638</v>
      </c>
      <c r="E385" s="383" t="s">
        <v>456</v>
      </c>
      <c r="F385" s="383" t="s">
        <v>253</v>
      </c>
      <c r="G385" s="408">
        <v>140</v>
      </c>
      <c r="H385" s="406"/>
      <c r="I385" s="471">
        <f t="shared" si="32"/>
        <v>8584.9699999999975</v>
      </c>
      <c r="J385" s="386" t="s">
        <v>306</v>
      </c>
      <c r="K385" s="381">
        <v>7771</v>
      </c>
      <c r="L385" s="74" t="s">
        <v>268</v>
      </c>
      <c r="M385" s="74" t="s">
        <v>281</v>
      </c>
      <c r="N385" s="45">
        <v>777100</v>
      </c>
      <c r="O385" s="280">
        <v>140</v>
      </c>
      <c r="P385" s="84">
        <v>2022</v>
      </c>
      <c r="Q385" s="281" t="s">
        <v>67</v>
      </c>
      <c r="R385" s="282" t="s">
        <v>158</v>
      </c>
      <c r="S385" s="282">
        <v>77</v>
      </c>
      <c r="T385" s="281" t="s">
        <v>65</v>
      </c>
    </row>
    <row r="386" spans="1:20" ht="14.5" hidden="1" customHeight="1">
      <c r="A386" s="78" t="s">
        <v>528</v>
      </c>
      <c r="B386" s="374" t="s">
        <v>79</v>
      </c>
      <c r="C386" s="383">
        <v>21</v>
      </c>
      <c r="D386" s="384">
        <v>44637</v>
      </c>
      <c r="E386" s="383" t="s">
        <v>457</v>
      </c>
      <c r="F386" s="383" t="s">
        <v>253</v>
      </c>
      <c r="G386" s="408">
        <v>60</v>
      </c>
      <c r="H386" s="406"/>
      <c r="I386" s="471">
        <f t="shared" si="32"/>
        <v>8644.9699999999975</v>
      </c>
      <c r="J386" s="386" t="s">
        <v>306</v>
      </c>
      <c r="K386" s="381">
        <v>7771</v>
      </c>
      <c r="L386" s="74" t="s">
        <v>268</v>
      </c>
      <c r="M386" s="74" t="s">
        <v>281</v>
      </c>
      <c r="N386" s="45">
        <v>777100</v>
      </c>
      <c r="O386" s="280">
        <v>60</v>
      </c>
      <c r="P386" s="84">
        <v>2022</v>
      </c>
      <c r="Q386" s="281" t="s">
        <v>67</v>
      </c>
      <c r="R386" s="282" t="s">
        <v>158</v>
      </c>
      <c r="S386" s="282">
        <v>77</v>
      </c>
      <c r="T386" s="281" t="s">
        <v>65</v>
      </c>
    </row>
    <row r="387" spans="1:20" ht="14.5" hidden="1" customHeight="1">
      <c r="A387" s="78" t="s">
        <v>528</v>
      </c>
      <c r="B387" s="374" t="s">
        <v>79</v>
      </c>
      <c r="C387" s="383">
        <v>26</v>
      </c>
      <c r="D387" s="384">
        <v>44658</v>
      </c>
      <c r="E387" s="383" t="s">
        <v>460</v>
      </c>
      <c r="F387" s="383" t="s">
        <v>253</v>
      </c>
      <c r="G387" s="410">
        <v>100</v>
      </c>
      <c r="H387" s="406"/>
      <c r="I387" s="471">
        <f t="shared" si="32"/>
        <v>8744.9699999999975</v>
      </c>
      <c r="J387" s="386" t="s">
        <v>306</v>
      </c>
      <c r="K387" s="381">
        <v>7771</v>
      </c>
      <c r="L387" s="74" t="s">
        <v>268</v>
      </c>
      <c r="M387" s="74" t="s">
        <v>281</v>
      </c>
      <c r="N387" s="45">
        <v>777100</v>
      </c>
      <c r="O387" s="280">
        <v>100</v>
      </c>
      <c r="P387" s="84">
        <v>2022</v>
      </c>
      <c r="Q387" s="281" t="s">
        <v>67</v>
      </c>
      <c r="R387" s="282" t="s">
        <v>158</v>
      </c>
      <c r="S387" s="282">
        <v>77</v>
      </c>
      <c r="T387" s="281" t="s">
        <v>65</v>
      </c>
    </row>
    <row r="388" spans="1:20" ht="14.5" hidden="1" customHeight="1">
      <c r="A388" s="78" t="s">
        <v>528</v>
      </c>
      <c r="B388" s="374" t="s">
        <v>79</v>
      </c>
      <c r="C388" s="383">
        <v>27</v>
      </c>
      <c r="D388" s="384">
        <v>44658</v>
      </c>
      <c r="E388" s="383" t="s">
        <v>461</v>
      </c>
      <c r="F388" s="383" t="s">
        <v>253</v>
      </c>
      <c r="G388" s="410">
        <v>150</v>
      </c>
      <c r="H388" s="406"/>
      <c r="I388" s="471">
        <f t="shared" si="32"/>
        <v>8894.9699999999975</v>
      </c>
      <c r="J388" s="386" t="s">
        <v>306</v>
      </c>
      <c r="K388" s="381">
        <v>7771</v>
      </c>
      <c r="L388" s="74" t="s">
        <v>268</v>
      </c>
      <c r="M388" s="74" t="s">
        <v>281</v>
      </c>
      <c r="N388" s="45">
        <v>777100</v>
      </c>
      <c r="O388" s="280">
        <v>150</v>
      </c>
      <c r="P388" s="84">
        <v>2022</v>
      </c>
      <c r="Q388" s="281" t="s">
        <v>67</v>
      </c>
      <c r="R388" s="282" t="s">
        <v>158</v>
      </c>
      <c r="S388" s="282">
        <v>77</v>
      </c>
      <c r="T388" s="281" t="s">
        <v>65</v>
      </c>
    </row>
    <row r="389" spans="1:20" ht="14.5" hidden="1" customHeight="1">
      <c r="A389" s="78" t="s">
        <v>528</v>
      </c>
      <c r="B389" s="374" t="s">
        <v>79</v>
      </c>
      <c r="C389" s="383">
        <v>28</v>
      </c>
      <c r="D389" s="384">
        <v>44658</v>
      </c>
      <c r="E389" s="383" t="s">
        <v>462</v>
      </c>
      <c r="F389" s="383" t="s">
        <v>253</v>
      </c>
      <c r="G389" s="410">
        <v>50</v>
      </c>
      <c r="H389" s="406"/>
      <c r="I389" s="471">
        <f t="shared" si="32"/>
        <v>8944.9699999999975</v>
      </c>
      <c r="J389" s="386" t="s">
        <v>306</v>
      </c>
      <c r="K389" s="381">
        <v>7771</v>
      </c>
      <c r="L389" s="74" t="s">
        <v>268</v>
      </c>
      <c r="M389" s="74" t="s">
        <v>281</v>
      </c>
      <c r="N389" s="45">
        <v>777100</v>
      </c>
      <c r="O389" s="280">
        <v>50</v>
      </c>
      <c r="P389" s="84">
        <v>2022</v>
      </c>
      <c r="Q389" s="281" t="s">
        <v>67</v>
      </c>
      <c r="R389" s="282" t="s">
        <v>158</v>
      </c>
      <c r="S389" s="282">
        <v>77</v>
      </c>
      <c r="T389" s="281" t="s">
        <v>65</v>
      </c>
    </row>
    <row r="390" spans="1:20" ht="14.5" hidden="1" customHeight="1">
      <c r="A390" s="78" t="s">
        <v>528</v>
      </c>
      <c r="B390" s="374" t="s">
        <v>79</v>
      </c>
      <c r="C390" s="383">
        <v>29</v>
      </c>
      <c r="D390" s="384">
        <v>44658</v>
      </c>
      <c r="E390" s="383" t="s">
        <v>463</v>
      </c>
      <c r="F390" s="383" t="s">
        <v>253</v>
      </c>
      <c r="G390" s="410">
        <v>25</v>
      </c>
      <c r="H390" s="406"/>
      <c r="I390" s="471">
        <f t="shared" si="32"/>
        <v>8969.9699999999975</v>
      </c>
      <c r="J390" s="386" t="s">
        <v>306</v>
      </c>
      <c r="K390" s="381">
        <v>7771</v>
      </c>
      <c r="L390" s="74" t="s">
        <v>268</v>
      </c>
      <c r="M390" s="74" t="s">
        <v>281</v>
      </c>
      <c r="N390" s="45">
        <v>777100</v>
      </c>
      <c r="O390" s="280">
        <v>25</v>
      </c>
      <c r="P390" s="84">
        <v>2022</v>
      </c>
      <c r="Q390" s="281" t="s">
        <v>67</v>
      </c>
      <c r="R390" s="282" t="s">
        <v>158</v>
      </c>
      <c r="S390" s="282">
        <v>77</v>
      </c>
      <c r="T390" s="281" t="s">
        <v>65</v>
      </c>
    </row>
    <row r="391" spans="1:20" ht="14.5" hidden="1" customHeight="1">
      <c r="A391" s="78" t="s">
        <v>528</v>
      </c>
      <c r="B391" s="374" t="s">
        <v>79</v>
      </c>
      <c r="C391" s="383">
        <v>30</v>
      </c>
      <c r="D391" s="384">
        <v>44658</v>
      </c>
      <c r="E391" s="383" t="s">
        <v>464</v>
      </c>
      <c r="F391" s="383" t="s">
        <v>253</v>
      </c>
      <c r="G391" s="410">
        <v>10</v>
      </c>
      <c r="H391" s="406"/>
      <c r="I391" s="471">
        <f t="shared" si="32"/>
        <v>8979.9699999999975</v>
      </c>
      <c r="J391" s="386" t="s">
        <v>306</v>
      </c>
      <c r="K391" s="381">
        <v>7771</v>
      </c>
      <c r="L391" s="74" t="s">
        <v>268</v>
      </c>
      <c r="M391" s="74" t="s">
        <v>281</v>
      </c>
      <c r="N391" s="45">
        <v>777100</v>
      </c>
      <c r="O391" s="280">
        <v>10</v>
      </c>
      <c r="P391" s="84">
        <v>2022</v>
      </c>
      <c r="Q391" s="281" t="s">
        <v>67</v>
      </c>
      <c r="R391" s="282" t="s">
        <v>158</v>
      </c>
      <c r="S391" s="282">
        <v>77</v>
      </c>
      <c r="T391" s="281" t="s">
        <v>65</v>
      </c>
    </row>
    <row r="392" spans="1:20" ht="14.5" hidden="1" customHeight="1">
      <c r="A392" s="78" t="s">
        <v>528</v>
      </c>
      <c r="B392" s="374" t="s">
        <v>79</v>
      </c>
      <c r="C392" s="383">
        <v>31</v>
      </c>
      <c r="D392" s="384">
        <v>44658</v>
      </c>
      <c r="E392" s="383" t="s">
        <v>465</v>
      </c>
      <c r="F392" s="383" t="s">
        <v>253</v>
      </c>
      <c r="G392" s="410">
        <v>50</v>
      </c>
      <c r="H392" s="406"/>
      <c r="I392" s="471">
        <f t="shared" si="32"/>
        <v>9029.9699999999975</v>
      </c>
      <c r="J392" s="386" t="s">
        <v>306</v>
      </c>
      <c r="K392" s="381">
        <v>7771</v>
      </c>
      <c r="L392" s="74" t="s">
        <v>268</v>
      </c>
      <c r="M392" s="74" t="s">
        <v>281</v>
      </c>
      <c r="N392" s="45">
        <v>777100</v>
      </c>
      <c r="O392" s="280">
        <v>50</v>
      </c>
      <c r="P392" s="84">
        <v>2022</v>
      </c>
      <c r="Q392" s="281" t="s">
        <v>67</v>
      </c>
      <c r="R392" s="282" t="s">
        <v>158</v>
      </c>
      <c r="S392" s="282">
        <v>77</v>
      </c>
      <c r="T392" s="281" t="s">
        <v>65</v>
      </c>
    </row>
    <row r="393" spans="1:20" ht="14.5" hidden="1" customHeight="1">
      <c r="A393" s="78" t="s">
        <v>528</v>
      </c>
      <c r="B393" s="374" t="s">
        <v>79</v>
      </c>
      <c r="C393" s="383">
        <v>32</v>
      </c>
      <c r="D393" s="384">
        <v>44658</v>
      </c>
      <c r="E393" s="383" t="s">
        <v>466</v>
      </c>
      <c r="F393" s="383" t="s">
        <v>253</v>
      </c>
      <c r="G393" s="410">
        <v>30</v>
      </c>
      <c r="H393" s="406"/>
      <c r="I393" s="471">
        <f t="shared" si="32"/>
        <v>9059.9699999999975</v>
      </c>
      <c r="J393" s="386" t="s">
        <v>306</v>
      </c>
      <c r="K393" s="381">
        <v>7771</v>
      </c>
      <c r="L393" s="74" t="s">
        <v>268</v>
      </c>
      <c r="M393" s="74" t="s">
        <v>281</v>
      </c>
      <c r="N393" s="45">
        <v>777100</v>
      </c>
      <c r="O393" s="280">
        <v>30</v>
      </c>
      <c r="P393" s="84">
        <v>2022</v>
      </c>
      <c r="Q393" s="281" t="s">
        <v>67</v>
      </c>
      <c r="R393" s="282" t="s">
        <v>158</v>
      </c>
      <c r="S393" s="282">
        <v>77</v>
      </c>
      <c r="T393" s="281" t="s">
        <v>65</v>
      </c>
    </row>
    <row r="394" spans="1:20" ht="14.5" hidden="1" customHeight="1">
      <c r="A394" s="78" t="s">
        <v>528</v>
      </c>
      <c r="B394" s="374" t="s">
        <v>79</v>
      </c>
      <c r="C394" s="383">
        <v>33</v>
      </c>
      <c r="D394" s="384">
        <v>44658</v>
      </c>
      <c r="E394" s="383" t="s">
        <v>467</v>
      </c>
      <c r="F394" s="383" t="s">
        <v>253</v>
      </c>
      <c r="G394" s="410">
        <v>100</v>
      </c>
      <c r="H394" s="406"/>
      <c r="I394" s="471">
        <f t="shared" si="32"/>
        <v>9159.9699999999975</v>
      </c>
      <c r="J394" s="386" t="s">
        <v>306</v>
      </c>
      <c r="K394" s="381">
        <v>7771</v>
      </c>
      <c r="L394" s="74" t="s">
        <v>268</v>
      </c>
      <c r="M394" s="74" t="s">
        <v>281</v>
      </c>
      <c r="N394" s="45">
        <v>777100</v>
      </c>
      <c r="O394" s="280">
        <v>100</v>
      </c>
      <c r="P394" s="84">
        <v>2022</v>
      </c>
      <c r="Q394" s="281" t="s">
        <v>67</v>
      </c>
      <c r="R394" s="282" t="s">
        <v>158</v>
      </c>
      <c r="S394" s="282">
        <v>77</v>
      </c>
      <c r="T394" s="281" t="s">
        <v>65</v>
      </c>
    </row>
    <row r="395" spans="1:20" ht="14.5" hidden="1" customHeight="1">
      <c r="A395" s="78" t="s">
        <v>528</v>
      </c>
      <c r="B395" s="374" t="s">
        <v>79</v>
      </c>
      <c r="C395" s="383">
        <v>34</v>
      </c>
      <c r="D395" s="384">
        <v>44658</v>
      </c>
      <c r="E395" s="383" t="s">
        <v>468</v>
      </c>
      <c r="F395" s="383" t="s">
        <v>253</v>
      </c>
      <c r="G395" s="410">
        <v>50</v>
      </c>
      <c r="H395" s="406"/>
      <c r="I395" s="471">
        <f t="shared" si="32"/>
        <v>9209.9699999999975</v>
      </c>
      <c r="J395" s="386" t="s">
        <v>306</v>
      </c>
      <c r="K395" s="381">
        <v>7771</v>
      </c>
      <c r="L395" s="74" t="s">
        <v>268</v>
      </c>
      <c r="M395" s="74" t="s">
        <v>281</v>
      </c>
      <c r="N395" s="45">
        <v>777100</v>
      </c>
      <c r="O395" s="280">
        <v>50</v>
      </c>
      <c r="P395" s="84">
        <v>2022</v>
      </c>
      <c r="Q395" s="281" t="s">
        <v>67</v>
      </c>
      <c r="R395" s="282" t="s">
        <v>158</v>
      </c>
      <c r="S395" s="282">
        <v>77</v>
      </c>
      <c r="T395" s="281" t="s">
        <v>65</v>
      </c>
    </row>
    <row r="396" spans="1:20" ht="14.5" hidden="1" customHeight="1">
      <c r="A396" s="78" t="s">
        <v>528</v>
      </c>
      <c r="B396" s="395" t="s">
        <v>79</v>
      </c>
      <c r="C396" s="396">
        <v>34</v>
      </c>
      <c r="D396" s="397">
        <v>44658</v>
      </c>
      <c r="E396" s="424" t="s">
        <v>516</v>
      </c>
      <c r="F396" s="396" t="s">
        <v>253</v>
      </c>
      <c r="G396" s="411">
        <v>90</v>
      </c>
      <c r="H396" s="412"/>
      <c r="I396" s="471">
        <f t="shared" si="32"/>
        <v>9299.9699999999975</v>
      </c>
      <c r="J396" s="398" t="s">
        <v>306</v>
      </c>
      <c r="K396" s="399">
        <v>7771</v>
      </c>
      <c r="L396" s="400" t="s">
        <v>268</v>
      </c>
      <c r="M396" s="74" t="s">
        <v>281</v>
      </c>
      <c r="N396" s="401">
        <v>777100</v>
      </c>
      <c r="O396" s="402">
        <v>90</v>
      </c>
      <c r="P396" s="403">
        <v>2022</v>
      </c>
      <c r="Q396" s="281" t="s">
        <v>67</v>
      </c>
      <c r="R396" s="282" t="s">
        <v>158</v>
      </c>
      <c r="S396" s="282">
        <v>77</v>
      </c>
      <c r="T396" s="281" t="s">
        <v>65</v>
      </c>
    </row>
    <row r="397" spans="1:20" ht="14.5" hidden="1" customHeight="1">
      <c r="A397" s="78" t="s">
        <v>528</v>
      </c>
      <c r="B397" s="374" t="s">
        <v>79</v>
      </c>
      <c r="C397" s="383">
        <v>35</v>
      </c>
      <c r="D397" s="384">
        <v>44658</v>
      </c>
      <c r="E397" s="383" t="s">
        <v>469</v>
      </c>
      <c r="F397" s="383" t="s">
        <v>253</v>
      </c>
      <c r="G397" s="410">
        <v>30</v>
      </c>
      <c r="H397" s="406"/>
      <c r="I397" s="471">
        <f t="shared" si="32"/>
        <v>9329.9699999999975</v>
      </c>
      <c r="J397" s="386" t="s">
        <v>306</v>
      </c>
      <c r="K397" s="381">
        <v>7771</v>
      </c>
      <c r="L397" s="74" t="s">
        <v>268</v>
      </c>
      <c r="M397" s="74" t="s">
        <v>281</v>
      </c>
      <c r="N397" s="45">
        <v>777100</v>
      </c>
      <c r="O397" s="280">
        <v>30</v>
      </c>
      <c r="P397" s="84">
        <v>2022</v>
      </c>
      <c r="Q397" s="281" t="s">
        <v>67</v>
      </c>
      <c r="R397" s="282" t="s">
        <v>158</v>
      </c>
      <c r="S397" s="282">
        <v>77</v>
      </c>
      <c r="T397" s="281" t="s">
        <v>65</v>
      </c>
    </row>
    <row r="398" spans="1:20" ht="14.5" hidden="1" customHeight="1">
      <c r="A398" s="78" t="s">
        <v>528</v>
      </c>
      <c r="B398" s="374" t="s">
        <v>79</v>
      </c>
      <c r="C398" s="383">
        <v>36</v>
      </c>
      <c r="D398" s="384">
        <v>44671</v>
      </c>
      <c r="E398" s="383" t="s">
        <v>470</v>
      </c>
      <c r="F398" s="383" t="s">
        <v>253</v>
      </c>
      <c r="G398" s="413">
        <v>350</v>
      </c>
      <c r="H398" s="406"/>
      <c r="I398" s="471">
        <f t="shared" ref="I398:I461" si="37">G398+I397-H398</f>
        <v>9679.9699999999975</v>
      </c>
      <c r="J398" s="386" t="s">
        <v>306</v>
      </c>
      <c r="K398" s="381">
        <v>7771</v>
      </c>
      <c r="L398" s="74" t="s">
        <v>268</v>
      </c>
      <c r="M398" s="74" t="s">
        <v>281</v>
      </c>
      <c r="N398" s="45">
        <v>777100</v>
      </c>
      <c r="O398" s="280">
        <v>350</v>
      </c>
      <c r="P398" s="84">
        <v>2022</v>
      </c>
      <c r="Q398" s="281" t="s">
        <v>67</v>
      </c>
      <c r="R398" s="282" t="s">
        <v>158</v>
      </c>
      <c r="S398" s="282">
        <v>77</v>
      </c>
      <c r="T398" s="281" t="s">
        <v>65</v>
      </c>
    </row>
    <row r="399" spans="1:20" ht="14.5" hidden="1" customHeight="1">
      <c r="A399" s="78" t="s">
        <v>528</v>
      </c>
      <c r="B399" s="374" t="s">
        <v>79</v>
      </c>
      <c r="C399" s="383">
        <v>37</v>
      </c>
      <c r="D399" s="384">
        <v>44671</v>
      </c>
      <c r="E399" s="383" t="s">
        <v>471</v>
      </c>
      <c r="F399" s="383" t="s">
        <v>253</v>
      </c>
      <c r="G399" s="413">
        <v>210</v>
      </c>
      <c r="H399" s="406"/>
      <c r="I399" s="471">
        <f t="shared" si="37"/>
        <v>9889.9699999999975</v>
      </c>
      <c r="J399" s="386" t="s">
        <v>306</v>
      </c>
      <c r="K399" s="381">
        <v>7771</v>
      </c>
      <c r="L399" s="74" t="s">
        <v>268</v>
      </c>
      <c r="M399" s="74" t="s">
        <v>281</v>
      </c>
      <c r="N399" s="45">
        <v>777100</v>
      </c>
      <c r="O399" s="280">
        <v>210</v>
      </c>
      <c r="P399" s="84">
        <v>2022</v>
      </c>
      <c r="Q399" s="281" t="s">
        <v>67</v>
      </c>
      <c r="R399" s="282" t="s">
        <v>158</v>
      </c>
      <c r="S399" s="282">
        <v>77</v>
      </c>
      <c r="T399" s="281" t="s">
        <v>65</v>
      </c>
    </row>
    <row r="400" spans="1:20" ht="14.5" hidden="1" customHeight="1">
      <c r="A400" s="78" t="s">
        <v>528</v>
      </c>
      <c r="B400" s="374" t="s">
        <v>79</v>
      </c>
      <c r="C400" s="383">
        <v>42</v>
      </c>
      <c r="D400" s="384">
        <v>44672</v>
      </c>
      <c r="E400" s="383" t="s">
        <v>474</v>
      </c>
      <c r="F400" s="383" t="s">
        <v>253</v>
      </c>
      <c r="G400" s="407">
        <v>210</v>
      </c>
      <c r="H400" s="406"/>
      <c r="I400" s="471">
        <f t="shared" si="37"/>
        <v>10099.969999999998</v>
      </c>
      <c r="J400" s="386" t="s">
        <v>306</v>
      </c>
      <c r="K400" s="381">
        <v>7771</v>
      </c>
      <c r="L400" s="74" t="s">
        <v>268</v>
      </c>
      <c r="M400" s="74" t="s">
        <v>281</v>
      </c>
      <c r="N400" s="45">
        <v>777100</v>
      </c>
      <c r="O400" s="280">
        <v>210</v>
      </c>
      <c r="P400" s="84">
        <v>2022</v>
      </c>
      <c r="Q400" s="281" t="s">
        <v>67</v>
      </c>
      <c r="R400" s="282" t="s">
        <v>158</v>
      </c>
      <c r="S400" s="282">
        <v>77</v>
      </c>
      <c r="T400" s="281" t="s">
        <v>65</v>
      </c>
    </row>
    <row r="401" spans="1:20" ht="29" hidden="1" customHeight="1">
      <c r="A401" s="78" t="s">
        <v>528</v>
      </c>
      <c r="B401" s="374" t="s">
        <v>79</v>
      </c>
      <c r="C401" s="383">
        <v>43</v>
      </c>
      <c r="D401" s="384">
        <v>44698</v>
      </c>
      <c r="E401" s="385" t="s">
        <v>475</v>
      </c>
      <c r="F401" s="383" t="s">
        <v>253</v>
      </c>
      <c r="G401" s="407">
        <v>15000</v>
      </c>
      <c r="H401" s="406"/>
      <c r="I401" s="471">
        <f t="shared" si="37"/>
        <v>25099.969999999998</v>
      </c>
      <c r="J401" s="386" t="s">
        <v>306</v>
      </c>
      <c r="K401" s="381">
        <v>7480</v>
      </c>
      <c r="L401" s="74" t="s">
        <v>268</v>
      </c>
      <c r="M401" s="74" t="s">
        <v>285</v>
      </c>
      <c r="N401" s="45">
        <v>748000</v>
      </c>
      <c r="O401" s="280">
        <v>15000</v>
      </c>
      <c r="P401" s="84">
        <v>2022</v>
      </c>
      <c r="Q401" s="281" t="s">
        <v>51</v>
      </c>
      <c r="R401" s="282" t="s">
        <v>158</v>
      </c>
      <c r="S401" s="282">
        <v>74</v>
      </c>
      <c r="T401" s="281" t="s">
        <v>38</v>
      </c>
    </row>
    <row r="402" spans="1:20" ht="14.5" hidden="1" customHeight="1">
      <c r="A402" s="78" t="s">
        <v>528</v>
      </c>
      <c r="B402" s="374" t="s">
        <v>79</v>
      </c>
      <c r="C402" s="383">
        <v>44</v>
      </c>
      <c r="D402" s="384">
        <v>44700</v>
      </c>
      <c r="E402" s="383" t="s">
        <v>476</v>
      </c>
      <c r="F402" s="383" t="s">
        <v>253</v>
      </c>
      <c r="G402" s="407">
        <v>810</v>
      </c>
      <c r="H402" s="406"/>
      <c r="I402" s="471">
        <f t="shared" si="37"/>
        <v>25909.969999999998</v>
      </c>
      <c r="J402" s="386" t="s">
        <v>306</v>
      </c>
      <c r="K402" s="381">
        <v>7771</v>
      </c>
      <c r="L402" s="74" t="s">
        <v>268</v>
      </c>
      <c r="M402" s="74" t="s">
        <v>281</v>
      </c>
      <c r="N402" s="45">
        <v>777100</v>
      </c>
      <c r="O402" s="280">
        <v>810</v>
      </c>
      <c r="P402" s="84">
        <v>2022</v>
      </c>
      <c r="Q402" s="281" t="s">
        <v>67</v>
      </c>
      <c r="R402" s="282" t="s">
        <v>158</v>
      </c>
      <c r="S402" s="282">
        <v>77</v>
      </c>
      <c r="T402" s="281" t="s">
        <v>65</v>
      </c>
    </row>
    <row r="403" spans="1:20" ht="29" hidden="1" customHeight="1">
      <c r="A403" s="78" t="s">
        <v>528</v>
      </c>
      <c r="B403" s="374" t="s">
        <v>79</v>
      </c>
      <c r="C403" s="383">
        <v>45</v>
      </c>
      <c r="D403" s="384">
        <v>44700</v>
      </c>
      <c r="E403" s="385" t="s">
        <v>477</v>
      </c>
      <c r="F403" s="383" t="s">
        <v>256</v>
      </c>
      <c r="G403" s="406"/>
      <c r="H403" s="407">
        <v>2250</v>
      </c>
      <c r="I403" s="471">
        <f t="shared" si="37"/>
        <v>23659.969999999998</v>
      </c>
      <c r="J403" s="386" t="s">
        <v>306</v>
      </c>
      <c r="K403" s="381">
        <v>6071</v>
      </c>
      <c r="L403" s="74" t="s">
        <v>268</v>
      </c>
      <c r="M403" s="74" t="s">
        <v>287</v>
      </c>
      <c r="N403" s="45">
        <v>607100</v>
      </c>
      <c r="O403" s="280">
        <v>-2250</v>
      </c>
      <c r="P403" s="84">
        <v>2022</v>
      </c>
      <c r="Q403" s="281" t="s">
        <v>287</v>
      </c>
      <c r="R403" s="282" t="s">
        <v>157</v>
      </c>
      <c r="S403" s="282">
        <v>60</v>
      </c>
      <c r="T403" s="281" t="s">
        <v>37</v>
      </c>
    </row>
    <row r="404" spans="1:20" ht="14.5" hidden="1" customHeight="1">
      <c r="A404" s="78" t="s">
        <v>528</v>
      </c>
      <c r="B404" s="374" t="s">
        <v>79</v>
      </c>
      <c r="C404" s="383">
        <v>46</v>
      </c>
      <c r="D404" s="384">
        <v>44700</v>
      </c>
      <c r="E404" s="383" t="s">
        <v>478</v>
      </c>
      <c r="F404" s="383" t="s">
        <v>479</v>
      </c>
      <c r="G404" s="406"/>
      <c r="H404" s="407">
        <v>18.399999999999999</v>
      </c>
      <c r="I404" s="471">
        <f t="shared" si="37"/>
        <v>23641.569999999996</v>
      </c>
      <c r="J404" s="386" t="s">
        <v>306</v>
      </c>
      <c r="K404" s="381">
        <v>6270</v>
      </c>
      <c r="L404" s="74" t="s">
        <v>268</v>
      </c>
      <c r="M404" s="74" t="s">
        <v>283</v>
      </c>
      <c r="N404" s="45">
        <v>627000</v>
      </c>
      <c r="O404" s="280">
        <v>-18.399999999999999</v>
      </c>
      <c r="P404" s="84">
        <v>2022</v>
      </c>
      <c r="Q404" s="281" t="s">
        <v>227</v>
      </c>
      <c r="R404" s="282" t="s">
        <v>157</v>
      </c>
      <c r="S404" s="282">
        <v>62</v>
      </c>
      <c r="T404" s="281" t="s">
        <v>43</v>
      </c>
    </row>
    <row r="405" spans="1:20" ht="14.5" hidden="1" customHeight="1">
      <c r="A405" s="78" t="s">
        <v>528</v>
      </c>
      <c r="B405" s="374" t="s">
        <v>79</v>
      </c>
      <c r="C405" s="383">
        <v>47</v>
      </c>
      <c r="D405" s="384">
        <v>44700</v>
      </c>
      <c r="E405" s="383" t="s">
        <v>480</v>
      </c>
      <c r="F405" s="383" t="s">
        <v>27</v>
      </c>
      <c r="G405" s="406"/>
      <c r="H405" s="407">
        <v>1271.69</v>
      </c>
      <c r="I405" s="471">
        <f t="shared" si="37"/>
        <v>22369.879999999997</v>
      </c>
      <c r="J405" s="386" t="s">
        <v>306</v>
      </c>
      <c r="K405" s="381">
        <v>6250</v>
      </c>
      <c r="L405" s="74" t="s">
        <v>268</v>
      </c>
      <c r="M405" s="74" t="s">
        <v>313</v>
      </c>
      <c r="N405" s="45">
        <v>625000</v>
      </c>
      <c r="O405" s="280">
        <v>-1271.69</v>
      </c>
      <c r="P405" s="84">
        <v>2022</v>
      </c>
      <c r="Q405" s="281" t="s">
        <v>48</v>
      </c>
      <c r="R405" s="282" t="s">
        <v>157</v>
      </c>
      <c r="S405" s="282">
        <v>62</v>
      </c>
      <c r="T405" s="281" t="s">
        <v>43</v>
      </c>
    </row>
    <row r="406" spans="1:20" ht="21.5" hidden="1" customHeight="1">
      <c r="A406" s="78" t="s">
        <v>528</v>
      </c>
      <c r="B406" s="374" t="s">
        <v>79</v>
      </c>
      <c r="C406" s="383">
        <v>50</v>
      </c>
      <c r="D406" s="369">
        <v>44765</v>
      </c>
      <c r="E406" s="370" t="s">
        <v>484</v>
      </c>
      <c r="F406" s="383"/>
      <c r="G406" s="371"/>
      <c r="H406" s="372">
        <v>275</v>
      </c>
      <c r="I406" s="471">
        <f t="shared" si="37"/>
        <v>22094.879999999997</v>
      </c>
      <c r="J406" s="386" t="s">
        <v>306</v>
      </c>
      <c r="K406" s="381">
        <v>6068</v>
      </c>
      <c r="L406" s="74" t="s">
        <v>268</v>
      </c>
      <c r="M406" s="74" t="s">
        <v>36</v>
      </c>
      <c r="N406" s="45">
        <v>606800</v>
      </c>
      <c r="O406" s="280">
        <v>-275</v>
      </c>
      <c r="P406" s="84">
        <v>2022</v>
      </c>
      <c r="Q406" s="281" t="s">
        <v>36</v>
      </c>
      <c r="R406" s="282" t="s">
        <v>157</v>
      </c>
      <c r="S406" s="282">
        <v>60</v>
      </c>
      <c r="T406" s="281" t="s">
        <v>29</v>
      </c>
    </row>
    <row r="407" spans="1:20" ht="21.5" hidden="1" customHeight="1">
      <c r="A407" s="78" t="s">
        <v>528</v>
      </c>
      <c r="B407" s="374" t="s">
        <v>79</v>
      </c>
      <c r="C407" s="383">
        <v>53</v>
      </c>
      <c r="D407" s="369">
        <v>44757</v>
      </c>
      <c r="E407" s="370" t="s">
        <v>485</v>
      </c>
      <c r="F407" s="383"/>
      <c r="G407" s="372">
        <v>100</v>
      </c>
      <c r="H407" s="371"/>
      <c r="I407" s="471">
        <f t="shared" si="37"/>
        <v>22194.879999999997</v>
      </c>
      <c r="J407" s="386" t="s">
        <v>306</v>
      </c>
      <c r="K407" s="381">
        <v>7771</v>
      </c>
      <c r="L407" s="74" t="s">
        <v>268</v>
      </c>
      <c r="M407" s="74" t="s">
        <v>281</v>
      </c>
      <c r="N407" s="45">
        <v>777100</v>
      </c>
      <c r="O407" s="280">
        <v>100</v>
      </c>
      <c r="P407" s="84">
        <v>2022</v>
      </c>
      <c r="Q407" s="281" t="s">
        <v>67</v>
      </c>
      <c r="R407" s="282" t="s">
        <v>158</v>
      </c>
      <c r="S407" s="282">
        <v>77</v>
      </c>
      <c r="T407" s="281" t="s">
        <v>65</v>
      </c>
    </row>
    <row r="408" spans="1:20" ht="41.5" hidden="1" customHeight="1">
      <c r="A408" s="78" t="s">
        <v>528</v>
      </c>
      <c r="B408" s="374" t="s">
        <v>79</v>
      </c>
      <c r="C408" s="383">
        <v>54</v>
      </c>
      <c r="D408" s="369">
        <v>44753</v>
      </c>
      <c r="E408" s="370" t="s">
        <v>486</v>
      </c>
      <c r="F408" s="383"/>
      <c r="G408" s="372">
        <v>60</v>
      </c>
      <c r="H408" s="371"/>
      <c r="I408" s="471">
        <f t="shared" si="37"/>
        <v>22254.879999999997</v>
      </c>
      <c r="J408" s="386" t="s">
        <v>306</v>
      </c>
      <c r="K408" s="381">
        <v>7771</v>
      </c>
      <c r="L408" s="74" t="s">
        <v>268</v>
      </c>
      <c r="M408" s="74" t="s">
        <v>281</v>
      </c>
      <c r="N408" s="45">
        <v>777100</v>
      </c>
      <c r="O408" s="280">
        <v>60</v>
      </c>
      <c r="P408" s="84">
        <v>2022</v>
      </c>
      <c r="Q408" s="281" t="s">
        <v>67</v>
      </c>
      <c r="R408" s="282" t="s">
        <v>158</v>
      </c>
      <c r="S408" s="282">
        <v>77</v>
      </c>
      <c r="T408" s="281" t="s">
        <v>65</v>
      </c>
    </row>
    <row r="409" spans="1:20" ht="21.5" hidden="1" customHeight="1">
      <c r="A409" s="78" t="s">
        <v>528</v>
      </c>
      <c r="B409" s="374" t="s">
        <v>79</v>
      </c>
      <c r="C409" s="383">
        <v>55</v>
      </c>
      <c r="D409" s="369">
        <v>44749</v>
      </c>
      <c r="E409" s="370" t="s">
        <v>487</v>
      </c>
      <c r="F409" s="383"/>
      <c r="G409" s="394"/>
      <c r="H409" s="372">
        <v>18.399999999999999</v>
      </c>
      <c r="I409" s="471">
        <f t="shared" si="37"/>
        <v>22236.479999999996</v>
      </c>
      <c r="J409" s="386" t="s">
        <v>306</v>
      </c>
      <c r="K409" s="381">
        <v>6270</v>
      </c>
      <c r="L409" s="74" t="s">
        <v>268</v>
      </c>
      <c r="M409" s="74" t="s">
        <v>283</v>
      </c>
      <c r="N409" s="45">
        <v>627000</v>
      </c>
      <c r="O409" s="280">
        <v>-18.399999999999999</v>
      </c>
      <c r="P409" s="84">
        <v>2022</v>
      </c>
      <c r="Q409" s="281" t="s">
        <v>227</v>
      </c>
      <c r="R409" s="282" t="s">
        <v>157</v>
      </c>
      <c r="S409" s="282">
        <v>62</v>
      </c>
      <c r="T409" s="281" t="s">
        <v>43</v>
      </c>
    </row>
    <row r="410" spans="1:20" ht="21.5" hidden="1" customHeight="1">
      <c r="A410" s="78" t="s">
        <v>528</v>
      </c>
      <c r="B410" s="374" t="s">
        <v>79</v>
      </c>
      <c r="C410" s="383">
        <v>56</v>
      </c>
      <c r="D410" s="369">
        <v>44749</v>
      </c>
      <c r="E410" s="370" t="s">
        <v>488</v>
      </c>
      <c r="F410" s="383"/>
      <c r="G410" s="394"/>
      <c r="H410" s="372">
        <v>10756</v>
      </c>
      <c r="I410" s="471">
        <f t="shared" si="37"/>
        <v>11480.479999999996</v>
      </c>
      <c r="J410" s="386" t="s">
        <v>306</v>
      </c>
      <c r="K410" s="381">
        <v>6110</v>
      </c>
      <c r="L410" s="74" t="s">
        <v>268</v>
      </c>
      <c r="M410" s="74" t="s">
        <v>396</v>
      </c>
      <c r="N410" s="45">
        <v>611000</v>
      </c>
      <c r="O410" s="280">
        <v>-10756</v>
      </c>
      <c r="P410" s="84">
        <v>2022</v>
      </c>
      <c r="Q410" s="281" t="s">
        <v>71</v>
      </c>
      <c r="R410" s="282" t="s">
        <v>157</v>
      </c>
      <c r="S410" s="282">
        <v>61</v>
      </c>
      <c r="T410" s="281" t="s">
        <v>37</v>
      </c>
    </row>
    <row r="411" spans="1:20" ht="21.5" hidden="1" customHeight="1">
      <c r="A411" s="78" t="s">
        <v>528</v>
      </c>
      <c r="B411" s="374" t="s">
        <v>79</v>
      </c>
      <c r="C411" s="383">
        <v>57</v>
      </c>
      <c r="D411" s="369">
        <v>44749</v>
      </c>
      <c r="E411" s="370" t="s">
        <v>489</v>
      </c>
      <c r="F411" s="383"/>
      <c r="G411" s="372">
        <v>200</v>
      </c>
      <c r="H411" s="371"/>
      <c r="I411" s="471">
        <f t="shared" si="37"/>
        <v>11680.479999999996</v>
      </c>
      <c r="J411" s="386" t="s">
        <v>306</v>
      </c>
      <c r="K411" s="381">
        <v>7771</v>
      </c>
      <c r="L411" s="74" t="s">
        <v>268</v>
      </c>
      <c r="M411" s="74" t="s">
        <v>281</v>
      </c>
      <c r="N411" s="45">
        <v>777100</v>
      </c>
      <c r="O411" s="280">
        <v>200</v>
      </c>
      <c r="P411" s="84">
        <v>2022</v>
      </c>
      <c r="Q411" s="281" t="s">
        <v>67</v>
      </c>
      <c r="R411" s="282" t="s">
        <v>158</v>
      </c>
      <c r="S411" s="282">
        <v>77</v>
      </c>
      <c r="T411" s="281" t="s">
        <v>65</v>
      </c>
    </row>
    <row r="412" spans="1:20" ht="21.5" hidden="1" customHeight="1">
      <c r="A412" s="78" t="s">
        <v>528</v>
      </c>
      <c r="B412" s="374" t="s">
        <v>79</v>
      </c>
      <c r="C412" s="383">
        <v>58</v>
      </c>
      <c r="D412" s="369">
        <v>44741</v>
      </c>
      <c r="E412" s="370" t="s">
        <v>490</v>
      </c>
      <c r="F412" s="383"/>
      <c r="G412" s="372">
        <v>700</v>
      </c>
      <c r="H412" s="371"/>
      <c r="I412" s="471">
        <f t="shared" si="37"/>
        <v>12380.479999999996</v>
      </c>
      <c r="J412" s="386" t="s">
        <v>306</v>
      </c>
      <c r="K412" s="381">
        <v>7771</v>
      </c>
      <c r="L412" s="74" t="s">
        <v>268</v>
      </c>
      <c r="M412" s="74" t="s">
        <v>281</v>
      </c>
      <c r="N412" s="45">
        <v>777100</v>
      </c>
      <c r="O412" s="280">
        <v>700</v>
      </c>
      <c r="P412" s="84">
        <v>2022</v>
      </c>
      <c r="Q412" s="281" t="s">
        <v>67</v>
      </c>
      <c r="R412" s="282" t="s">
        <v>158</v>
      </c>
      <c r="S412" s="282">
        <v>77</v>
      </c>
      <c r="T412" s="281" t="s">
        <v>65</v>
      </c>
    </row>
    <row r="413" spans="1:20" ht="21.5" hidden="1" customHeight="1">
      <c r="A413" s="78" t="s">
        <v>528</v>
      </c>
      <c r="B413" s="374" t="s">
        <v>79</v>
      </c>
      <c r="C413" s="383">
        <v>59</v>
      </c>
      <c r="D413" s="369">
        <v>44741</v>
      </c>
      <c r="E413" s="370" t="s">
        <v>491</v>
      </c>
      <c r="F413" s="383"/>
      <c r="G413" s="372">
        <v>300</v>
      </c>
      <c r="H413" s="371"/>
      <c r="I413" s="471">
        <f t="shared" si="37"/>
        <v>12680.479999999996</v>
      </c>
      <c r="J413" s="386" t="s">
        <v>306</v>
      </c>
      <c r="K413" s="381">
        <v>7771</v>
      </c>
      <c r="L413" s="74" t="s">
        <v>268</v>
      </c>
      <c r="M413" s="74" t="s">
        <v>281</v>
      </c>
      <c r="N413" s="45">
        <v>777100</v>
      </c>
      <c r="O413" s="280">
        <v>300</v>
      </c>
      <c r="P413" s="84">
        <v>2022</v>
      </c>
      <c r="Q413" s="281" t="s">
        <v>67</v>
      </c>
      <c r="R413" s="282" t="s">
        <v>158</v>
      </c>
      <c r="S413" s="282">
        <v>77</v>
      </c>
      <c r="T413" s="281" t="s">
        <v>65</v>
      </c>
    </row>
    <row r="414" spans="1:20" ht="21.5" hidden="1" customHeight="1">
      <c r="A414" s="78" t="s">
        <v>528</v>
      </c>
      <c r="B414" s="374" t="s">
        <v>79</v>
      </c>
      <c r="C414" s="383">
        <v>60</v>
      </c>
      <c r="D414" s="369">
        <v>44740</v>
      </c>
      <c r="E414" s="370" t="s">
        <v>492</v>
      </c>
      <c r="F414" s="383"/>
      <c r="G414" s="372">
        <v>825</v>
      </c>
      <c r="H414" s="371"/>
      <c r="I414" s="471">
        <f t="shared" si="37"/>
        <v>13505.479999999996</v>
      </c>
      <c r="J414" s="386" t="s">
        <v>306</v>
      </c>
      <c r="K414" s="381">
        <v>7771</v>
      </c>
      <c r="L414" s="74" t="s">
        <v>268</v>
      </c>
      <c r="M414" s="74" t="s">
        <v>281</v>
      </c>
      <c r="N414" s="45">
        <v>777100</v>
      </c>
      <c r="O414" s="280">
        <v>825</v>
      </c>
      <c r="P414" s="84">
        <v>2022</v>
      </c>
      <c r="Q414" s="281" t="s">
        <v>67</v>
      </c>
      <c r="R414" s="282" t="s">
        <v>158</v>
      </c>
      <c r="S414" s="282">
        <v>77</v>
      </c>
      <c r="T414" s="281" t="s">
        <v>65</v>
      </c>
    </row>
    <row r="415" spans="1:20" ht="21.5" hidden="1" customHeight="1">
      <c r="A415" s="78" t="s">
        <v>528</v>
      </c>
      <c r="B415" s="374" t="s">
        <v>79</v>
      </c>
      <c r="C415" s="383">
        <v>61</v>
      </c>
      <c r="D415" s="369">
        <v>44740</v>
      </c>
      <c r="E415" s="370" t="s">
        <v>493</v>
      </c>
      <c r="F415" s="383"/>
      <c r="G415" s="372">
        <v>400</v>
      </c>
      <c r="H415" s="371"/>
      <c r="I415" s="471">
        <f t="shared" si="37"/>
        <v>13905.479999999996</v>
      </c>
      <c r="J415" s="386" t="s">
        <v>306</v>
      </c>
      <c r="K415" s="381">
        <v>7771</v>
      </c>
      <c r="L415" s="74" t="s">
        <v>268</v>
      </c>
      <c r="M415" s="74" t="s">
        <v>281</v>
      </c>
      <c r="N415" s="45">
        <v>777100</v>
      </c>
      <c r="O415" s="280">
        <v>400</v>
      </c>
      <c r="P415" s="84">
        <v>2022</v>
      </c>
      <c r="Q415" s="281" t="s">
        <v>67</v>
      </c>
      <c r="R415" s="282" t="s">
        <v>158</v>
      </c>
      <c r="S415" s="282">
        <v>77</v>
      </c>
      <c r="T415" s="281" t="s">
        <v>65</v>
      </c>
    </row>
    <row r="416" spans="1:20" ht="21.5" hidden="1" customHeight="1">
      <c r="A416" s="78" t="s">
        <v>528</v>
      </c>
      <c r="B416" s="374" t="s">
        <v>79</v>
      </c>
      <c r="C416" s="383">
        <v>62</v>
      </c>
      <c r="D416" s="369">
        <v>44730</v>
      </c>
      <c r="E416" s="370" t="s">
        <v>494</v>
      </c>
      <c r="F416" s="383"/>
      <c r="G416" s="372">
        <v>300</v>
      </c>
      <c r="H416" s="371"/>
      <c r="I416" s="471">
        <f t="shared" si="37"/>
        <v>14205.479999999996</v>
      </c>
      <c r="J416" s="386" t="s">
        <v>306</v>
      </c>
      <c r="K416" s="381">
        <v>7771</v>
      </c>
      <c r="L416" s="74" t="s">
        <v>268</v>
      </c>
      <c r="M416" s="74" t="s">
        <v>281</v>
      </c>
      <c r="N416" s="45">
        <v>777100</v>
      </c>
      <c r="O416" s="280">
        <v>300</v>
      </c>
      <c r="P416" s="84">
        <v>2022</v>
      </c>
      <c r="Q416" s="281" t="s">
        <v>67</v>
      </c>
      <c r="R416" s="282" t="s">
        <v>158</v>
      </c>
      <c r="S416" s="282">
        <v>77</v>
      </c>
      <c r="T416" s="281" t="s">
        <v>65</v>
      </c>
    </row>
    <row r="417" spans="1:20" ht="21.5" hidden="1" customHeight="1">
      <c r="A417" s="78" t="s">
        <v>528</v>
      </c>
      <c r="B417" s="374" t="s">
        <v>79</v>
      </c>
      <c r="C417" s="383">
        <v>63</v>
      </c>
      <c r="D417" s="369">
        <v>44730</v>
      </c>
      <c r="E417" s="370" t="s">
        <v>495</v>
      </c>
      <c r="F417" s="383"/>
      <c r="G417" s="372">
        <v>50</v>
      </c>
      <c r="H417" s="371"/>
      <c r="I417" s="471">
        <f t="shared" si="37"/>
        <v>14255.479999999996</v>
      </c>
      <c r="J417" s="386" t="s">
        <v>306</v>
      </c>
      <c r="K417" s="381">
        <v>7771</v>
      </c>
      <c r="L417" s="74" t="s">
        <v>268</v>
      </c>
      <c r="M417" s="74" t="s">
        <v>281</v>
      </c>
      <c r="N417" s="45">
        <v>777100</v>
      </c>
      <c r="O417" s="280">
        <v>50</v>
      </c>
      <c r="P417" s="84">
        <v>2022</v>
      </c>
      <c r="Q417" s="281" t="s">
        <v>67</v>
      </c>
      <c r="R417" s="282" t="s">
        <v>158</v>
      </c>
      <c r="S417" s="282">
        <v>77</v>
      </c>
      <c r="T417" s="281" t="s">
        <v>65</v>
      </c>
    </row>
    <row r="418" spans="1:20" ht="21.5" hidden="1" customHeight="1">
      <c r="A418" s="78" t="s">
        <v>528</v>
      </c>
      <c r="B418" s="374" t="s">
        <v>79</v>
      </c>
      <c r="C418" s="383">
        <v>64</v>
      </c>
      <c r="D418" s="369">
        <v>44730</v>
      </c>
      <c r="E418" s="370" t="s">
        <v>496</v>
      </c>
      <c r="F418" s="383"/>
      <c r="G418" s="372">
        <v>1000</v>
      </c>
      <c r="H418" s="371"/>
      <c r="I418" s="471">
        <f t="shared" si="37"/>
        <v>15255.479999999996</v>
      </c>
      <c r="J418" s="386" t="s">
        <v>306</v>
      </c>
      <c r="K418" s="381">
        <v>7771</v>
      </c>
      <c r="L418" s="74" t="s">
        <v>268</v>
      </c>
      <c r="M418" s="74" t="s">
        <v>281</v>
      </c>
      <c r="N418" s="45">
        <v>777100</v>
      </c>
      <c r="O418" s="280">
        <v>1000</v>
      </c>
      <c r="P418" s="84">
        <v>2022</v>
      </c>
      <c r="Q418" s="281" t="s">
        <v>67</v>
      </c>
      <c r="R418" s="282" t="s">
        <v>158</v>
      </c>
      <c r="S418" s="282">
        <v>77</v>
      </c>
      <c r="T418" s="281" t="s">
        <v>65</v>
      </c>
    </row>
    <row r="419" spans="1:20" ht="21.5" hidden="1" customHeight="1">
      <c r="A419" s="78" t="s">
        <v>528</v>
      </c>
      <c r="B419" s="374" t="s">
        <v>79</v>
      </c>
      <c r="C419" s="383">
        <v>65</v>
      </c>
      <c r="D419" s="369">
        <v>44727</v>
      </c>
      <c r="E419" s="370" t="s">
        <v>497</v>
      </c>
      <c r="F419" s="383"/>
      <c r="G419" s="372">
        <v>40</v>
      </c>
      <c r="H419" s="371"/>
      <c r="I419" s="471">
        <f t="shared" si="37"/>
        <v>15295.479999999996</v>
      </c>
      <c r="J419" s="386" t="s">
        <v>306</v>
      </c>
      <c r="K419" s="381">
        <v>7771</v>
      </c>
      <c r="L419" s="74" t="s">
        <v>268</v>
      </c>
      <c r="M419" s="74" t="s">
        <v>281</v>
      </c>
      <c r="N419" s="45">
        <v>777100</v>
      </c>
      <c r="O419" s="280">
        <v>40</v>
      </c>
      <c r="P419" s="84">
        <v>2022</v>
      </c>
      <c r="Q419" s="281" t="s">
        <v>67</v>
      </c>
      <c r="R419" s="282" t="s">
        <v>158</v>
      </c>
      <c r="S419" s="282">
        <v>77</v>
      </c>
      <c r="T419" s="281" t="s">
        <v>65</v>
      </c>
    </row>
    <row r="420" spans="1:20" ht="21.5" hidden="1" customHeight="1">
      <c r="A420" s="78" t="s">
        <v>528</v>
      </c>
      <c r="B420" s="374" t="s">
        <v>79</v>
      </c>
      <c r="C420" s="383">
        <v>66</v>
      </c>
      <c r="D420" s="369">
        <v>44726</v>
      </c>
      <c r="E420" s="370" t="s">
        <v>498</v>
      </c>
      <c r="F420" s="383"/>
      <c r="G420" s="372">
        <v>50</v>
      </c>
      <c r="H420" s="371"/>
      <c r="I420" s="471">
        <f t="shared" si="37"/>
        <v>15345.479999999996</v>
      </c>
      <c r="J420" s="386" t="s">
        <v>306</v>
      </c>
      <c r="K420" s="381">
        <v>7771</v>
      </c>
      <c r="L420" s="74" t="s">
        <v>268</v>
      </c>
      <c r="M420" s="74" t="s">
        <v>281</v>
      </c>
      <c r="N420" s="45">
        <v>777100</v>
      </c>
      <c r="O420" s="280">
        <v>50</v>
      </c>
      <c r="P420" s="84">
        <v>2022</v>
      </c>
      <c r="Q420" s="281" t="s">
        <v>67</v>
      </c>
      <c r="R420" s="282" t="s">
        <v>158</v>
      </c>
      <c r="S420" s="282">
        <v>77</v>
      </c>
      <c r="T420" s="281" t="s">
        <v>65</v>
      </c>
    </row>
    <row r="421" spans="1:20" ht="21.5" hidden="1" customHeight="1">
      <c r="A421" s="78" t="s">
        <v>528</v>
      </c>
      <c r="B421" s="374" t="s">
        <v>79</v>
      </c>
      <c r="C421" s="383">
        <v>67</v>
      </c>
      <c r="D421" s="369">
        <v>44726</v>
      </c>
      <c r="E421" s="370" t="s">
        <v>499</v>
      </c>
      <c r="F421" s="383"/>
      <c r="G421" s="372">
        <v>100</v>
      </c>
      <c r="H421" s="371"/>
      <c r="I421" s="471">
        <f t="shared" si="37"/>
        <v>15445.479999999996</v>
      </c>
      <c r="J421" s="386" t="s">
        <v>306</v>
      </c>
      <c r="K421" s="381">
        <v>7771</v>
      </c>
      <c r="L421" s="74" t="s">
        <v>268</v>
      </c>
      <c r="M421" s="74" t="s">
        <v>281</v>
      </c>
      <c r="N421" s="45">
        <v>777100</v>
      </c>
      <c r="O421" s="280">
        <v>100</v>
      </c>
      <c r="P421" s="84">
        <v>2022</v>
      </c>
      <c r="Q421" s="281" t="s">
        <v>67</v>
      </c>
      <c r="R421" s="282" t="s">
        <v>158</v>
      </c>
      <c r="S421" s="282">
        <v>77</v>
      </c>
      <c r="T421" s="281" t="s">
        <v>65</v>
      </c>
    </row>
    <row r="422" spans="1:20" ht="21.5" hidden="1" customHeight="1">
      <c r="A422" s="78" t="s">
        <v>528</v>
      </c>
      <c r="B422" s="374" t="s">
        <v>79</v>
      </c>
      <c r="C422" s="383">
        <v>68</v>
      </c>
      <c r="D422" s="369">
        <v>44726</v>
      </c>
      <c r="E422" s="370" t="s">
        <v>500</v>
      </c>
      <c r="F422" s="383"/>
      <c r="G422" s="372">
        <v>150</v>
      </c>
      <c r="H422" s="371"/>
      <c r="I422" s="471">
        <f t="shared" si="37"/>
        <v>15595.479999999996</v>
      </c>
      <c r="J422" s="386" t="s">
        <v>306</v>
      </c>
      <c r="K422" s="381">
        <v>7771</v>
      </c>
      <c r="L422" s="74" t="s">
        <v>268</v>
      </c>
      <c r="M422" s="74" t="s">
        <v>281</v>
      </c>
      <c r="N422" s="45">
        <v>777100</v>
      </c>
      <c r="O422" s="280">
        <v>150</v>
      </c>
      <c r="P422" s="84">
        <v>2022</v>
      </c>
      <c r="Q422" s="281" t="s">
        <v>67</v>
      </c>
      <c r="R422" s="282" t="s">
        <v>158</v>
      </c>
      <c r="S422" s="282">
        <v>77</v>
      </c>
      <c r="T422" s="281" t="s">
        <v>65</v>
      </c>
    </row>
    <row r="423" spans="1:20" ht="21.5" hidden="1" customHeight="1">
      <c r="A423" s="78" t="s">
        <v>528</v>
      </c>
      <c r="B423" s="374" t="s">
        <v>79</v>
      </c>
      <c r="C423" s="383">
        <v>69</v>
      </c>
      <c r="D423" s="369">
        <v>44719</v>
      </c>
      <c r="E423" s="370" t="s">
        <v>501</v>
      </c>
      <c r="F423" s="383"/>
      <c r="G423" s="372">
        <v>50</v>
      </c>
      <c r="H423" s="371"/>
      <c r="I423" s="471">
        <f t="shared" si="37"/>
        <v>15645.479999999996</v>
      </c>
      <c r="J423" s="386" t="s">
        <v>306</v>
      </c>
      <c r="K423" s="381">
        <v>7771</v>
      </c>
      <c r="L423" s="74" t="s">
        <v>268</v>
      </c>
      <c r="M423" s="74" t="s">
        <v>281</v>
      </c>
      <c r="N423" s="45">
        <v>777100</v>
      </c>
      <c r="O423" s="280">
        <v>50</v>
      </c>
      <c r="P423" s="84">
        <v>2022</v>
      </c>
      <c r="Q423" s="281" t="s">
        <v>67</v>
      </c>
      <c r="R423" s="282" t="s">
        <v>158</v>
      </c>
      <c r="S423" s="282">
        <v>77</v>
      </c>
      <c r="T423" s="281" t="s">
        <v>65</v>
      </c>
    </row>
    <row r="424" spans="1:20" ht="21.5" hidden="1" customHeight="1">
      <c r="A424" s="78" t="s">
        <v>528</v>
      </c>
      <c r="B424" s="374" t="s">
        <v>79</v>
      </c>
      <c r="C424" s="383">
        <v>70</v>
      </c>
      <c r="D424" s="369">
        <v>44713</v>
      </c>
      <c r="E424" s="370" t="s">
        <v>502</v>
      </c>
      <c r="F424" s="383"/>
      <c r="G424" s="372">
        <v>50</v>
      </c>
      <c r="H424" s="371"/>
      <c r="I424" s="471">
        <f t="shared" si="37"/>
        <v>15695.479999999996</v>
      </c>
      <c r="J424" s="386" t="s">
        <v>306</v>
      </c>
      <c r="K424" s="381">
        <v>7771</v>
      </c>
      <c r="L424" s="74" t="s">
        <v>268</v>
      </c>
      <c r="M424" s="74" t="s">
        <v>281</v>
      </c>
      <c r="N424" s="45">
        <v>777100</v>
      </c>
      <c r="O424" s="280">
        <v>50</v>
      </c>
      <c r="P424" s="84">
        <v>2022</v>
      </c>
      <c r="Q424" s="281" t="s">
        <v>67</v>
      </c>
      <c r="R424" s="282" t="s">
        <v>158</v>
      </c>
      <c r="S424" s="282">
        <v>77</v>
      </c>
      <c r="T424" s="281" t="s">
        <v>65</v>
      </c>
    </row>
    <row r="425" spans="1:20" ht="21.5" hidden="1" customHeight="1">
      <c r="A425" s="78" t="s">
        <v>528</v>
      </c>
      <c r="B425" s="374" t="s">
        <v>79</v>
      </c>
      <c r="C425" s="383">
        <v>71</v>
      </c>
      <c r="D425" s="369">
        <v>44713</v>
      </c>
      <c r="E425" s="370" t="s">
        <v>503</v>
      </c>
      <c r="F425" s="383"/>
      <c r="G425" s="372">
        <v>1500</v>
      </c>
      <c r="H425" s="371"/>
      <c r="I425" s="471">
        <f t="shared" si="37"/>
        <v>17195.479999999996</v>
      </c>
      <c r="J425" s="386" t="s">
        <v>306</v>
      </c>
      <c r="K425" s="381">
        <v>7771</v>
      </c>
      <c r="L425" s="74" t="s">
        <v>268</v>
      </c>
      <c r="M425" s="74" t="s">
        <v>281</v>
      </c>
      <c r="N425" s="45">
        <v>777100</v>
      </c>
      <c r="O425" s="280">
        <v>1500</v>
      </c>
      <c r="P425" s="84">
        <v>2022</v>
      </c>
      <c r="Q425" s="281" t="s">
        <v>67</v>
      </c>
      <c r="R425" s="282" t="s">
        <v>158</v>
      </c>
      <c r="S425" s="282">
        <v>77</v>
      </c>
      <c r="T425" s="281" t="s">
        <v>65</v>
      </c>
    </row>
    <row r="426" spans="1:20" ht="21.5" hidden="1" customHeight="1">
      <c r="A426" s="78" t="s">
        <v>528</v>
      </c>
      <c r="B426" s="374" t="s">
        <v>79</v>
      </c>
      <c r="C426" s="383">
        <v>72</v>
      </c>
      <c r="D426" s="369">
        <v>44713</v>
      </c>
      <c r="E426" s="370" t="s">
        <v>504</v>
      </c>
      <c r="F426" s="383"/>
      <c r="G426" s="407">
        <v>150</v>
      </c>
      <c r="H426" s="371"/>
      <c r="I426" s="471">
        <f t="shared" si="37"/>
        <v>17345.479999999996</v>
      </c>
      <c r="J426" s="386" t="s">
        <v>306</v>
      </c>
      <c r="K426" s="381">
        <v>7771</v>
      </c>
      <c r="L426" s="74" t="s">
        <v>268</v>
      </c>
      <c r="M426" s="74" t="s">
        <v>281</v>
      </c>
      <c r="N426" s="45">
        <v>777100</v>
      </c>
      <c r="O426" s="280">
        <v>150</v>
      </c>
      <c r="P426" s="84">
        <v>2022</v>
      </c>
      <c r="Q426" s="281" t="s">
        <v>67</v>
      </c>
      <c r="R426" s="282" t="s">
        <v>158</v>
      </c>
      <c r="S426" s="282">
        <v>77</v>
      </c>
      <c r="T426" s="281" t="s">
        <v>65</v>
      </c>
    </row>
    <row r="427" spans="1:20" ht="21.5" hidden="1" customHeight="1">
      <c r="A427" s="78" t="s">
        <v>528</v>
      </c>
      <c r="B427" s="374" t="s">
        <v>79</v>
      </c>
      <c r="C427" s="383">
        <v>73</v>
      </c>
      <c r="D427" s="369">
        <v>44769</v>
      </c>
      <c r="E427" s="370" t="s">
        <v>505</v>
      </c>
      <c r="F427" s="371" t="s">
        <v>506</v>
      </c>
      <c r="G427" s="372">
        <v>100</v>
      </c>
      <c r="H427" s="406"/>
      <c r="I427" s="471">
        <f t="shared" si="37"/>
        <v>17445.479999999996</v>
      </c>
      <c r="J427" s="386" t="s">
        <v>306</v>
      </c>
      <c r="K427" s="381">
        <v>7771</v>
      </c>
      <c r="L427" s="74" t="s">
        <v>268</v>
      </c>
      <c r="M427" s="74" t="s">
        <v>281</v>
      </c>
      <c r="N427" s="45">
        <v>777100</v>
      </c>
      <c r="O427" s="280">
        <v>100</v>
      </c>
      <c r="P427" s="84">
        <v>2022</v>
      </c>
      <c r="Q427" s="281" t="s">
        <v>67</v>
      </c>
      <c r="R427" s="282" t="s">
        <v>158</v>
      </c>
      <c r="S427" s="282">
        <v>77</v>
      </c>
      <c r="T427" s="281" t="s">
        <v>65</v>
      </c>
    </row>
    <row r="428" spans="1:20" ht="21.5" hidden="1" customHeight="1">
      <c r="A428" s="78" t="s">
        <v>528</v>
      </c>
      <c r="B428" s="374" t="s">
        <v>79</v>
      </c>
      <c r="C428" s="383">
        <v>74</v>
      </c>
      <c r="D428" s="369">
        <v>44777</v>
      </c>
      <c r="E428" s="370" t="s">
        <v>507</v>
      </c>
      <c r="F428" s="371" t="s">
        <v>506</v>
      </c>
      <c r="G428" s="371"/>
      <c r="H428" s="407">
        <v>8310</v>
      </c>
      <c r="I428" s="471">
        <f t="shared" si="37"/>
        <v>9135.4799999999959</v>
      </c>
      <c r="J428" s="386" t="s">
        <v>306</v>
      </c>
      <c r="K428" s="381">
        <v>6110</v>
      </c>
      <c r="L428" s="74" t="s">
        <v>268</v>
      </c>
      <c r="M428" s="74" t="s">
        <v>396</v>
      </c>
      <c r="N428" s="45">
        <v>611000</v>
      </c>
      <c r="O428" s="280">
        <v>-8310</v>
      </c>
      <c r="P428" s="84">
        <v>2022</v>
      </c>
      <c r="Q428" s="281" t="s">
        <v>71</v>
      </c>
      <c r="R428" s="282" t="s">
        <v>157</v>
      </c>
      <c r="S428" s="282">
        <v>61</v>
      </c>
      <c r="T428" s="281" t="s">
        <v>37</v>
      </c>
    </row>
    <row r="429" spans="1:20" ht="21.5" hidden="1" customHeight="1">
      <c r="A429" s="78" t="s">
        <v>528</v>
      </c>
      <c r="B429" s="374" t="s">
        <v>79</v>
      </c>
      <c r="C429" s="383">
        <v>75</v>
      </c>
      <c r="D429" s="369">
        <v>44777</v>
      </c>
      <c r="E429" s="370" t="s">
        <v>508</v>
      </c>
      <c r="F429" s="371"/>
      <c r="G429" s="406"/>
      <c r="H429" s="407">
        <v>18.399999999999999</v>
      </c>
      <c r="I429" s="471">
        <f t="shared" si="37"/>
        <v>9117.0799999999963</v>
      </c>
      <c r="J429" s="386" t="s">
        <v>306</v>
      </c>
      <c r="K429" s="381">
        <v>6270</v>
      </c>
      <c r="L429" s="74" t="s">
        <v>268</v>
      </c>
      <c r="M429" s="74" t="s">
        <v>283</v>
      </c>
      <c r="N429" s="45">
        <v>627000</v>
      </c>
      <c r="O429" s="280">
        <v>-18.399999999999999</v>
      </c>
      <c r="P429" s="84">
        <v>2022</v>
      </c>
      <c r="Q429" s="281" t="s">
        <v>227</v>
      </c>
      <c r="R429" s="282" t="s">
        <v>157</v>
      </c>
      <c r="S429" s="282">
        <v>62</v>
      </c>
      <c r="T429" s="281" t="s">
        <v>43</v>
      </c>
    </row>
    <row r="430" spans="1:20" ht="14.5" hidden="1" customHeight="1">
      <c r="A430" s="78" t="s">
        <v>528</v>
      </c>
      <c r="B430" s="374" t="s">
        <v>79</v>
      </c>
      <c r="C430" s="383">
        <v>77</v>
      </c>
      <c r="D430" s="369">
        <v>44795</v>
      </c>
      <c r="E430" s="429" t="s">
        <v>521</v>
      </c>
      <c r="F430" s="371"/>
      <c r="G430" s="372"/>
      <c r="H430" s="372">
        <v>1462.07</v>
      </c>
      <c r="I430" s="471">
        <f t="shared" si="37"/>
        <v>7655.0099999999966</v>
      </c>
      <c r="J430" s="386" t="s">
        <v>306</v>
      </c>
      <c r="K430" s="381">
        <v>6700</v>
      </c>
      <c r="L430" s="74" t="s">
        <v>268</v>
      </c>
      <c r="M430" s="74" t="s">
        <v>94</v>
      </c>
      <c r="N430" s="45">
        <v>670000</v>
      </c>
      <c r="O430" s="280">
        <v>-1462.07</v>
      </c>
      <c r="P430" s="84">
        <v>2022</v>
      </c>
      <c r="Q430" s="281" t="s">
        <v>94</v>
      </c>
      <c r="R430" s="282" t="s">
        <v>157</v>
      </c>
      <c r="S430" s="282">
        <v>67</v>
      </c>
      <c r="T430" s="281" t="s">
        <v>515</v>
      </c>
    </row>
    <row r="431" spans="1:20" ht="15.5" hidden="1" customHeight="1">
      <c r="A431" s="78" t="s">
        <v>528</v>
      </c>
      <c r="B431" s="374" t="s">
        <v>79</v>
      </c>
      <c r="C431" s="383"/>
      <c r="D431" s="369">
        <v>44926</v>
      </c>
      <c r="E431" t="s">
        <v>539</v>
      </c>
      <c r="H431" s="467">
        <v>1800</v>
      </c>
      <c r="I431" s="477">
        <f t="shared" si="37"/>
        <v>5855.0099999999966</v>
      </c>
      <c r="J431" s="468" t="s">
        <v>527</v>
      </c>
      <c r="K431">
        <v>6228</v>
      </c>
      <c r="L431" s="74" t="str">
        <f>VLOOKUP($J431,'2 CODIFICATION'!A$5:B$21,2,"FAUX")</f>
        <v>TOILETTES ECOSAN</v>
      </c>
      <c r="M431" s="74" t="str">
        <f>VLOOKUP($K431,'2 CODIFICATION'!D$8:E$64,2,"FAUX")</f>
        <v>formation</v>
      </c>
      <c r="N431" s="85">
        <f t="shared" ref="N431:N456" si="38">+K431*100</f>
        <v>622800</v>
      </c>
      <c r="O431" s="14">
        <f t="shared" ref="O431:O467" si="39">G431-H431</f>
        <v>-1800</v>
      </c>
      <c r="P431" s="84">
        <f t="shared" ref="P431:P465" si="40">YEAR(D431)</f>
        <v>2022</v>
      </c>
      <c r="Q431" s="11" t="str">
        <f>VLOOKUP($N431,'2 CODIFICATION'!$G$5:$L$71,3,FALSE)</f>
        <v>Frais de formation</v>
      </c>
      <c r="R431" s="53" t="str">
        <f>VLOOKUP($N431,'2 CODIFICATION'!$G$5:$L$71,4,FALSE)</f>
        <v>chges</v>
      </c>
      <c r="S431" s="53">
        <f>VLOOKUP($N431,'2 CODIFICATION'!$G$5:$L$71,5,FALSE)</f>
        <v>62</v>
      </c>
      <c r="T431" s="11" t="str">
        <f>VLOOKUP($N431,'2 CODIFICATION'!$G$5:$L$71,6,FALSE)</f>
        <v>Autres services extérieurs</v>
      </c>
    </row>
    <row r="432" spans="1:20" ht="15.5" hidden="1" customHeight="1">
      <c r="A432" s="78" t="s">
        <v>528</v>
      </c>
      <c r="B432" s="374" t="s">
        <v>79</v>
      </c>
      <c r="C432" s="383"/>
      <c r="D432" s="369">
        <v>44926</v>
      </c>
      <c r="E432" t="s">
        <v>542</v>
      </c>
      <c r="H432" s="67">
        <v>450</v>
      </c>
      <c r="I432" s="471">
        <f t="shared" si="37"/>
        <v>5405.0099999999966</v>
      </c>
      <c r="J432" s="361" t="s">
        <v>527</v>
      </c>
      <c r="K432">
        <v>6228</v>
      </c>
      <c r="L432" s="74" t="str">
        <f>VLOOKUP($J432,'2 CODIFICATION'!A$5:B$21,2,"FAUX")</f>
        <v>TOILETTES ECOSAN</v>
      </c>
      <c r="M432" s="74" t="str">
        <f>VLOOKUP($K432,'2 CODIFICATION'!D$8:E$64,2,"FAUX")</f>
        <v>formation</v>
      </c>
      <c r="N432" s="85">
        <f t="shared" si="38"/>
        <v>622800</v>
      </c>
      <c r="O432" s="14">
        <f t="shared" si="39"/>
        <v>-450</v>
      </c>
      <c r="P432" s="84">
        <f t="shared" si="40"/>
        <v>2022</v>
      </c>
      <c r="Q432" s="11" t="str">
        <f>VLOOKUP($N432,'2 CODIFICATION'!$G$5:$L$71,3,FALSE)</f>
        <v>Frais de formation</v>
      </c>
      <c r="R432" s="53" t="str">
        <f>VLOOKUP($N432,'2 CODIFICATION'!$G$5:$L$71,4,FALSE)</f>
        <v>chges</v>
      </c>
      <c r="S432" s="53">
        <f>VLOOKUP($N432,'2 CODIFICATION'!$G$5:$L$71,5,FALSE)</f>
        <v>62</v>
      </c>
      <c r="T432" s="11" t="str">
        <f>VLOOKUP($N432,'2 CODIFICATION'!$G$5:$L$71,6,FALSE)</f>
        <v>Autres services extérieurs</v>
      </c>
    </row>
    <row r="433" spans="1:20" ht="15.5" hidden="1" customHeight="1">
      <c r="A433" s="78" t="s">
        <v>528</v>
      </c>
      <c r="B433" s="374" t="s">
        <v>79</v>
      </c>
      <c r="C433" s="383"/>
      <c r="D433" s="369">
        <v>44926</v>
      </c>
      <c r="E433" t="s">
        <v>540</v>
      </c>
      <c r="H433" s="67">
        <v>3500</v>
      </c>
      <c r="I433" s="471">
        <f t="shared" si="37"/>
        <v>1905.0099999999966</v>
      </c>
      <c r="J433" s="361" t="s">
        <v>527</v>
      </c>
      <c r="K433">
        <v>6228</v>
      </c>
      <c r="L433" s="74" t="str">
        <f>VLOOKUP($J433,'2 CODIFICATION'!A$5:B$21,2,"FAUX")</f>
        <v>TOILETTES ECOSAN</v>
      </c>
      <c r="M433" s="74" t="str">
        <f>VLOOKUP($K433,'2 CODIFICATION'!D$8:E$64,2,"FAUX")</f>
        <v>formation</v>
      </c>
      <c r="N433" s="85">
        <f t="shared" si="38"/>
        <v>622800</v>
      </c>
      <c r="O433" s="14">
        <f t="shared" si="39"/>
        <v>-3500</v>
      </c>
      <c r="P433" s="84">
        <f t="shared" si="40"/>
        <v>2022</v>
      </c>
      <c r="Q433" s="11" t="str">
        <f>VLOOKUP($N433,'2 CODIFICATION'!$G$5:$L$71,3,FALSE)</f>
        <v>Frais de formation</v>
      </c>
      <c r="R433" s="53" t="str">
        <f>VLOOKUP($N433,'2 CODIFICATION'!$G$5:$L$71,4,FALSE)</f>
        <v>chges</v>
      </c>
      <c r="S433" s="53">
        <f>VLOOKUP($N433,'2 CODIFICATION'!$G$5:$L$71,5,FALSE)</f>
        <v>62</v>
      </c>
      <c r="T433" s="11" t="str">
        <f>VLOOKUP($N433,'2 CODIFICATION'!$G$5:$L$71,6,FALSE)</f>
        <v>Autres services extérieurs</v>
      </c>
    </row>
    <row r="434" spans="1:20" ht="15.5" hidden="1" customHeight="1">
      <c r="A434" s="78" t="s">
        <v>528</v>
      </c>
      <c r="B434" s="374" t="s">
        <v>79</v>
      </c>
      <c r="C434" s="383"/>
      <c r="D434" s="369">
        <v>44926</v>
      </c>
      <c r="E434" t="s">
        <v>541</v>
      </c>
      <c r="H434" s="67">
        <v>3200</v>
      </c>
      <c r="I434" s="471">
        <f t="shared" si="37"/>
        <v>-1294.9900000000034</v>
      </c>
      <c r="J434" s="361" t="s">
        <v>527</v>
      </c>
      <c r="K434">
        <v>6110</v>
      </c>
      <c r="L434" s="74" t="str">
        <f>VLOOKUP($J434,'2 CODIFICATION'!A$5:B$21,2,"FAUX")</f>
        <v>TOILETTES ECOSAN</v>
      </c>
      <c r="M434" s="74" t="str">
        <f>VLOOKUP($K434,'2 CODIFICATION'!D$8:E$64,2,"FAUX")</f>
        <v>Sous traitance projet</v>
      </c>
      <c r="N434" s="85">
        <f t="shared" si="38"/>
        <v>611000</v>
      </c>
      <c r="O434" s="14">
        <f t="shared" si="39"/>
        <v>-3200</v>
      </c>
      <c r="P434" s="84">
        <f t="shared" si="40"/>
        <v>2022</v>
      </c>
      <c r="Q434" s="11" t="str">
        <f>VLOOKUP($N434,'2 CODIFICATION'!$G$5:$L$71,3,FALSE)</f>
        <v xml:space="preserve">Sous-traitance générale </v>
      </c>
      <c r="R434" s="53" t="str">
        <f>VLOOKUP($N434,'2 CODIFICATION'!$G$5:$L$71,4,FALSE)</f>
        <v>chges</v>
      </c>
      <c r="S434" s="53">
        <f>VLOOKUP($N434,'2 CODIFICATION'!$G$5:$L$71,5,FALSE)</f>
        <v>61</v>
      </c>
      <c r="T434" s="11" t="str">
        <f>VLOOKUP($N434,'2 CODIFICATION'!$G$5:$L$71,6,FALSE)</f>
        <v>Services extérieurs</v>
      </c>
    </row>
    <row r="435" spans="1:20" ht="15.5" hidden="1" customHeight="1">
      <c r="A435" s="78" t="s">
        <v>528</v>
      </c>
      <c r="B435" s="374" t="s">
        <v>79</v>
      </c>
      <c r="C435" s="383"/>
      <c r="D435" s="369">
        <v>44926</v>
      </c>
      <c r="E435" t="s">
        <v>543</v>
      </c>
      <c r="H435" s="67">
        <v>1600</v>
      </c>
      <c r="I435" s="471">
        <f t="shared" si="37"/>
        <v>-2894.9900000000034</v>
      </c>
      <c r="J435" s="361" t="s">
        <v>527</v>
      </c>
      <c r="K435">
        <v>6110</v>
      </c>
      <c r="L435" s="74" t="str">
        <f>VLOOKUP($J435,'2 CODIFICATION'!A$5:B$21,2,"FAUX")</f>
        <v>TOILETTES ECOSAN</v>
      </c>
      <c r="M435" s="74" t="str">
        <f>VLOOKUP($K435,'2 CODIFICATION'!D$8:E$64,2,"FAUX")</f>
        <v>Sous traitance projet</v>
      </c>
      <c r="N435" s="85">
        <f t="shared" si="38"/>
        <v>611000</v>
      </c>
      <c r="O435" s="14">
        <f t="shared" si="39"/>
        <v>-1600</v>
      </c>
      <c r="P435" s="84">
        <f t="shared" si="40"/>
        <v>2022</v>
      </c>
      <c r="Q435" s="11" t="str">
        <f>VLOOKUP($N435,'2 CODIFICATION'!$G$5:$L$71,3,FALSE)</f>
        <v xml:space="preserve">Sous-traitance générale </v>
      </c>
      <c r="R435" s="53" t="str">
        <f>VLOOKUP($N435,'2 CODIFICATION'!$G$5:$L$71,4,FALSE)</f>
        <v>chges</v>
      </c>
      <c r="S435" s="53">
        <f>VLOOKUP($N435,'2 CODIFICATION'!$G$5:$L$71,5,FALSE)</f>
        <v>61</v>
      </c>
      <c r="T435" s="11" t="str">
        <f>VLOOKUP($N435,'2 CODIFICATION'!$G$5:$L$71,6,FALSE)</f>
        <v>Services extérieurs</v>
      </c>
    </row>
    <row r="436" spans="1:20" ht="15.5" hidden="1" customHeight="1">
      <c r="A436" s="78" t="s">
        <v>528</v>
      </c>
      <c r="B436" s="374" t="s">
        <v>79</v>
      </c>
      <c r="C436" s="383"/>
      <c r="D436" s="369">
        <v>44926</v>
      </c>
      <c r="E436" t="s">
        <v>544</v>
      </c>
      <c r="H436" s="67">
        <v>310</v>
      </c>
      <c r="I436" s="471">
        <f t="shared" si="37"/>
        <v>-3204.9900000000034</v>
      </c>
      <c r="J436" s="361" t="s">
        <v>527</v>
      </c>
      <c r="K436">
        <v>6228</v>
      </c>
      <c r="L436" s="74" t="str">
        <f>VLOOKUP($J436,'2 CODIFICATION'!A$5:B$21,2,"FAUX")</f>
        <v>TOILETTES ECOSAN</v>
      </c>
      <c r="M436" s="74" t="str">
        <f>VLOOKUP($K436,'2 CODIFICATION'!D$8:E$64,2,"FAUX")</f>
        <v>formation</v>
      </c>
      <c r="N436" s="85">
        <f t="shared" si="38"/>
        <v>622800</v>
      </c>
      <c r="O436" s="14">
        <f t="shared" si="39"/>
        <v>-310</v>
      </c>
      <c r="P436" s="84">
        <f t="shared" si="40"/>
        <v>2022</v>
      </c>
      <c r="Q436" s="11" t="str">
        <f>VLOOKUP($N436,'2 CODIFICATION'!$G$5:$L$71,3,FALSE)</f>
        <v>Frais de formation</v>
      </c>
      <c r="R436" s="53" t="str">
        <f>VLOOKUP($N436,'2 CODIFICATION'!$G$5:$L$71,4,FALSE)</f>
        <v>chges</v>
      </c>
      <c r="S436" s="53">
        <f>VLOOKUP($N436,'2 CODIFICATION'!$G$5:$L$71,5,FALSE)</f>
        <v>62</v>
      </c>
      <c r="T436" s="11" t="str">
        <f>VLOOKUP($N436,'2 CODIFICATION'!$G$5:$L$71,6,FALSE)</f>
        <v>Autres services extérieurs</v>
      </c>
    </row>
    <row r="437" spans="1:20" ht="15.5" hidden="1" customHeight="1">
      <c r="A437" s="78" t="s">
        <v>528</v>
      </c>
      <c r="B437" s="374" t="s">
        <v>79</v>
      </c>
      <c r="C437" s="383"/>
      <c r="D437" s="369">
        <v>44926</v>
      </c>
      <c r="E437" t="s">
        <v>530</v>
      </c>
      <c r="H437" s="67">
        <v>4495</v>
      </c>
      <c r="I437" s="471">
        <f t="shared" si="37"/>
        <v>-7699.9900000000034</v>
      </c>
      <c r="J437" s="361" t="s">
        <v>527</v>
      </c>
      <c r="K437">
        <v>6150</v>
      </c>
      <c r="L437" s="74" t="str">
        <f>VLOOKUP($J437,'2 CODIFICATION'!A$5:B$21,2,"FAUX")</f>
        <v>TOILETTES ECOSAN</v>
      </c>
      <c r="M437" s="74" t="str">
        <f>VLOOKUP($K437,'2 CODIFICATION'!D$8:E$64,2,"FAUX")</f>
        <v>Entretien réparation</v>
      </c>
      <c r="N437" s="85">
        <f t="shared" si="38"/>
        <v>615000</v>
      </c>
      <c r="O437" s="14">
        <f t="shared" si="39"/>
        <v>-4495</v>
      </c>
      <c r="P437" s="84">
        <f t="shared" si="40"/>
        <v>2022</v>
      </c>
      <c r="Q437" s="11" t="str">
        <f>VLOOKUP($N437,'2 CODIFICATION'!$G$5:$L$71,3,FALSE)</f>
        <v>Entretien et réparations</v>
      </c>
      <c r="R437" s="53" t="str">
        <f>VLOOKUP($N437,'2 CODIFICATION'!$G$5:$L$71,4,FALSE)</f>
        <v>chges</v>
      </c>
      <c r="S437" s="53">
        <f>VLOOKUP($N437,'2 CODIFICATION'!$G$5:$L$71,5,FALSE)</f>
        <v>61</v>
      </c>
      <c r="T437" s="11" t="str">
        <f>VLOOKUP($N437,'2 CODIFICATION'!$G$5:$L$71,6,FALSE)</f>
        <v>Services extérieurs</v>
      </c>
    </row>
    <row r="438" spans="1:20" ht="15.5" hidden="1" customHeight="1">
      <c r="A438" s="78" t="s">
        <v>528</v>
      </c>
      <c r="B438" s="374" t="s">
        <v>79</v>
      </c>
      <c r="C438" s="383"/>
      <c r="D438" s="369">
        <v>44926</v>
      </c>
      <c r="E438" t="s">
        <v>545</v>
      </c>
      <c r="H438" s="67">
        <v>9146</v>
      </c>
      <c r="I438" s="471">
        <f t="shared" si="37"/>
        <v>-16845.990000000005</v>
      </c>
      <c r="J438" s="361" t="s">
        <v>527</v>
      </c>
      <c r="K438">
        <v>6150</v>
      </c>
      <c r="L438" s="74" t="str">
        <f>VLOOKUP($J438,'2 CODIFICATION'!A$5:B$21,2,"FAUX")</f>
        <v>TOILETTES ECOSAN</v>
      </c>
      <c r="M438" s="74" t="str">
        <f>VLOOKUP($K438,'2 CODIFICATION'!D$8:E$64,2,"FAUX")</f>
        <v>Entretien réparation</v>
      </c>
      <c r="N438" s="85">
        <f t="shared" si="38"/>
        <v>615000</v>
      </c>
      <c r="O438" s="14">
        <f t="shared" si="39"/>
        <v>-9146</v>
      </c>
      <c r="P438" s="84">
        <f t="shared" si="40"/>
        <v>2022</v>
      </c>
      <c r="Q438" s="11" t="str">
        <f>VLOOKUP($N438,'2 CODIFICATION'!$G$5:$L$71,3,FALSE)</f>
        <v>Entretien et réparations</v>
      </c>
      <c r="R438" s="53" t="str">
        <f>VLOOKUP($N438,'2 CODIFICATION'!$G$5:$L$71,4,FALSE)</f>
        <v>chges</v>
      </c>
      <c r="S438" s="53">
        <f>VLOOKUP($N438,'2 CODIFICATION'!$G$5:$L$71,5,FALSE)</f>
        <v>61</v>
      </c>
      <c r="T438" s="11" t="str">
        <f>VLOOKUP($N438,'2 CODIFICATION'!$G$5:$L$71,6,FALSE)</f>
        <v>Services extérieurs</v>
      </c>
    </row>
    <row r="439" spans="1:20" ht="15.5" hidden="1" customHeight="1">
      <c r="A439" s="78" t="s">
        <v>528</v>
      </c>
      <c r="B439" s="374" t="s">
        <v>79</v>
      </c>
      <c r="C439" s="383"/>
      <c r="D439" s="369">
        <v>44926</v>
      </c>
      <c r="E439" t="s">
        <v>546</v>
      </c>
      <c r="H439" s="67">
        <v>2000</v>
      </c>
      <c r="I439" s="471">
        <f t="shared" si="37"/>
        <v>-18845.990000000005</v>
      </c>
      <c r="J439" s="361" t="s">
        <v>527</v>
      </c>
      <c r="K439">
        <v>6230</v>
      </c>
      <c r="L439" s="74" t="str">
        <f>VLOOKUP($J439,'2 CODIFICATION'!A$5:B$21,2,"FAUX")</f>
        <v>TOILETTES ECOSAN</v>
      </c>
      <c r="M439" s="74" t="str">
        <f>VLOOKUP($K439,'2 CODIFICATION'!D$8:E$64,2,"FAUX")</f>
        <v>communication</v>
      </c>
      <c r="N439" s="85">
        <f t="shared" si="38"/>
        <v>623000</v>
      </c>
      <c r="O439" s="14">
        <f t="shared" si="39"/>
        <v>-2000</v>
      </c>
      <c r="P439" s="84">
        <f t="shared" si="40"/>
        <v>2022</v>
      </c>
      <c r="Q439" s="11" t="str">
        <f>VLOOKUP($N439,'2 CODIFICATION'!$G$5:$L$71,3,FALSE)</f>
        <v>Publicité, publications, Création de site web</v>
      </c>
      <c r="R439" s="53" t="str">
        <f>VLOOKUP($N439,'2 CODIFICATION'!$G$5:$L$71,4,FALSE)</f>
        <v>chges</v>
      </c>
      <c r="S439" s="53">
        <f>VLOOKUP($N439,'2 CODIFICATION'!$G$5:$L$71,5,FALSE)</f>
        <v>62</v>
      </c>
      <c r="T439" s="11" t="str">
        <f>VLOOKUP($N439,'2 CODIFICATION'!$G$5:$L$71,6,FALSE)</f>
        <v>Autres services extérieurs</v>
      </c>
    </row>
    <row r="440" spans="1:20" ht="15.5" hidden="1" customHeight="1">
      <c r="A440" s="78" t="s">
        <v>528</v>
      </c>
      <c r="B440" s="374" t="s">
        <v>79</v>
      </c>
      <c r="C440" s="383"/>
      <c r="D440" s="369">
        <v>44926</v>
      </c>
      <c r="E440" t="s">
        <v>547</v>
      </c>
      <c r="H440" s="67">
        <v>45555</v>
      </c>
      <c r="I440" s="471">
        <f t="shared" si="37"/>
        <v>-64400.990000000005</v>
      </c>
      <c r="J440" s="361" t="s">
        <v>527</v>
      </c>
      <c r="K440">
        <v>6110</v>
      </c>
      <c r="L440" s="74" t="str">
        <f>VLOOKUP($J440,'2 CODIFICATION'!A$5:B$21,2,"FAUX")</f>
        <v>TOILETTES ECOSAN</v>
      </c>
      <c r="M440" s="74" t="str">
        <f>VLOOKUP($K440,'2 CODIFICATION'!D$8:E$64,2,"FAUX")</f>
        <v>Sous traitance projet</v>
      </c>
      <c r="N440" s="85">
        <f t="shared" si="38"/>
        <v>611000</v>
      </c>
      <c r="O440" s="14">
        <f t="shared" si="39"/>
        <v>-45555</v>
      </c>
      <c r="P440" s="84">
        <f t="shared" si="40"/>
        <v>2022</v>
      </c>
      <c r="Q440" s="11" t="str">
        <f>VLOOKUP($N440,'2 CODIFICATION'!$G$5:$L$71,3,FALSE)</f>
        <v xml:space="preserve">Sous-traitance générale </v>
      </c>
      <c r="R440" s="53" t="str">
        <f>VLOOKUP($N440,'2 CODIFICATION'!$G$5:$L$71,4,FALSE)</f>
        <v>chges</v>
      </c>
      <c r="S440" s="53">
        <f>VLOOKUP($N440,'2 CODIFICATION'!$G$5:$L$71,5,FALSE)</f>
        <v>61</v>
      </c>
      <c r="T440" s="11" t="str">
        <f>VLOOKUP($N440,'2 CODIFICATION'!$G$5:$L$71,6,FALSE)</f>
        <v>Services extérieurs</v>
      </c>
    </row>
    <row r="441" spans="1:20" ht="15.5" hidden="1" customHeight="1">
      <c r="A441" s="78" t="s">
        <v>528</v>
      </c>
      <c r="B441" s="374" t="s">
        <v>79</v>
      </c>
      <c r="C441" s="383"/>
      <c r="D441" s="369">
        <v>44926</v>
      </c>
      <c r="E441" t="s">
        <v>548</v>
      </c>
      <c r="H441" s="67">
        <v>3500</v>
      </c>
      <c r="I441" s="471">
        <f t="shared" si="37"/>
        <v>-67900.990000000005</v>
      </c>
      <c r="J441" s="361" t="s">
        <v>527</v>
      </c>
      <c r="K441">
        <v>6110</v>
      </c>
      <c r="L441" s="74" t="str">
        <f>VLOOKUP($J441,'2 CODIFICATION'!A$5:B$21,2,"FAUX")</f>
        <v>TOILETTES ECOSAN</v>
      </c>
      <c r="M441" s="74" t="str">
        <f>VLOOKUP($K441,'2 CODIFICATION'!D$8:E$64,2,"FAUX")</f>
        <v>Sous traitance projet</v>
      </c>
      <c r="N441" s="85">
        <f t="shared" si="38"/>
        <v>611000</v>
      </c>
      <c r="O441" s="14">
        <f t="shared" si="39"/>
        <v>-3500</v>
      </c>
      <c r="P441" s="84">
        <f t="shared" si="40"/>
        <v>2022</v>
      </c>
      <c r="Q441" s="11" t="str">
        <f>VLOOKUP($N441,'2 CODIFICATION'!$G$5:$L$71,3,FALSE)</f>
        <v xml:space="preserve">Sous-traitance générale </v>
      </c>
      <c r="R441" s="53" t="str">
        <f>VLOOKUP($N441,'2 CODIFICATION'!$G$5:$L$71,4,FALSE)</f>
        <v>chges</v>
      </c>
      <c r="S441" s="53">
        <f>VLOOKUP($N441,'2 CODIFICATION'!$G$5:$L$71,5,FALSE)</f>
        <v>61</v>
      </c>
      <c r="T441" s="11" t="str">
        <f>VLOOKUP($N441,'2 CODIFICATION'!$G$5:$L$71,6,FALSE)</f>
        <v>Services extérieurs</v>
      </c>
    </row>
    <row r="442" spans="1:20" ht="15.5" hidden="1" customHeight="1">
      <c r="A442" s="78" t="s">
        <v>528</v>
      </c>
      <c r="B442" s="374" t="s">
        <v>79</v>
      </c>
      <c r="C442" s="383"/>
      <c r="D442" s="369">
        <v>44926</v>
      </c>
      <c r="E442" t="s">
        <v>531</v>
      </c>
      <c r="H442" s="67">
        <v>5797</v>
      </c>
      <c r="I442" s="471">
        <f t="shared" si="37"/>
        <v>-73697.990000000005</v>
      </c>
      <c r="J442" s="361" t="s">
        <v>527</v>
      </c>
      <c r="K442">
        <v>6240</v>
      </c>
      <c r="L442" s="74" t="str">
        <f>VLOOKUP($J442,'2 CODIFICATION'!A$5:B$21,2,"FAUX")</f>
        <v>TOILETTES ECOSAN</v>
      </c>
      <c r="M442" s="74" t="str">
        <f>VLOOKUP($K442,'2 CODIFICATION'!D$8:E$64,2,"FAUX")</f>
        <v>Transports</v>
      </c>
      <c r="N442" s="85">
        <f t="shared" si="38"/>
        <v>624000</v>
      </c>
      <c r="O442" s="14">
        <f t="shared" si="39"/>
        <v>-5797</v>
      </c>
      <c r="P442" s="84">
        <f t="shared" si="40"/>
        <v>2022</v>
      </c>
      <c r="Q442" s="11" t="str">
        <f>VLOOKUP($N442,'2 CODIFICATION'!$G$5:$L$71,3,FALSE)</f>
        <v>Transports</v>
      </c>
      <c r="R442" s="53" t="str">
        <f>VLOOKUP($N442,'2 CODIFICATION'!$G$5:$L$71,4,FALSE)</f>
        <v>chges</v>
      </c>
      <c r="S442" s="53">
        <f>VLOOKUP($N442,'2 CODIFICATION'!$G$5:$L$71,5,FALSE)</f>
        <v>62</v>
      </c>
      <c r="T442" s="11" t="str">
        <f>VLOOKUP($N442,'2 CODIFICATION'!$G$5:$L$71,6,FALSE)</f>
        <v>Charges de personnel</v>
      </c>
    </row>
    <row r="443" spans="1:20" ht="15.5" hidden="1" customHeight="1">
      <c r="A443" s="78" t="s">
        <v>528</v>
      </c>
      <c r="B443" s="374" t="s">
        <v>79</v>
      </c>
      <c r="C443" s="383"/>
      <c r="D443" s="369">
        <v>44926</v>
      </c>
      <c r="E443" t="s">
        <v>549</v>
      </c>
      <c r="H443" s="67">
        <v>3000</v>
      </c>
      <c r="I443" s="471">
        <f t="shared" si="37"/>
        <v>-76697.990000000005</v>
      </c>
      <c r="J443" s="361" t="s">
        <v>527</v>
      </c>
      <c r="K443">
        <v>6261</v>
      </c>
      <c r="L443" s="74" t="str">
        <f>VLOOKUP($J443,'2 CODIFICATION'!A$5:B$21,2,"FAUX")</f>
        <v>TOILETTES ECOSAN</v>
      </c>
      <c r="M443" s="74" t="str">
        <f>VLOOKUP($K443,'2 CODIFICATION'!D$8:E$64,2,"FAUX")</f>
        <v>Frais d'envoi</v>
      </c>
      <c r="N443" s="85">
        <f t="shared" si="38"/>
        <v>626100</v>
      </c>
      <c r="O443" s="14">
        <f t="shared" si="39"/>
        <v>-3000</v>
      </c>
      <c r="P443" s="84">
        <f t="shared" si="40"/>
        <v>2022</v>
      </c>
      <c r="Q443" s="11" t="str">
        <f>VLOOKUP($N443,'2 CODIFICATION'!$G$5:$L$71,3,FALSE)</f>
        <v>Frais postaux</v>
      </c>
      <c r="R443" s="53" t="str">
        <f>VLOOKUP($N443,'2 CODIFICATION'!$G$5:$L$71,4,FALSE)</f>
        <v>chges</v>
      </c>
      <c r="S443" s="53">
        <f>VLOOKUP($N443,'2 CODIFICATION'!$G$5:$L$71,5,FALSE)</f>
        <v>62</v>
      </c>
      <c r="T443" s="11" t="str">
        <f>VLOOKUP($N443,'2 CODIFICATION'!$G$5:$L$71,6,FALSE)</f>
        <v>Autres services extérieurs</v>
      </c>
    </row>
    <row r="444" spans="1:20" ht="15.5" hidden="1" customHeight="1">
      <c r="A444" s="78" t="s">
        <v>528</v>
      </c>
      <c r="B444" s="374" t="s">
        <v>79</v>
      </c>
      <c r="C444" s="383"/>
      <c r="D444" s="369">
        <v>44926</v>
      </c>
      <c r="E444" t="s">
        <v>550</v>
      </c>
      <c r="H444" s="67">
        <v>13144</v>
      </c>
      <c r="I444" s="471">
        <f t="shared" si="37"/>
        <v>-89841.99</v>
      </c>
      <c r="J444" s="361" t="s">
        <v>527</v>
      </c>
      <c r="K444">
        <v>6410</v>
      </c>
      <c r="L444" s="74" t="str">
        <f>VLOOKUP($J444,'2 CODIFICATION'!A$5:B$21,2,"FAUX")</f>
        <v>TOILETTES ECOSAN</v>
      </c>
      <c r="M444" s="74" t="str">
        <f>VLOOKUP($K444,'2 CODIFICATION'!D$8:E$64,2,"FAUX")</f>
        <v>Rémunérations</v>
      </c>
      <c r="N444" s="85">
        <f t="shared" si="38"/>
        <v>641000</v>
      </c>
      <c r="O444" s="14">
        <f t="shared" si="39"/>
        <v>-13144</v>
      </c>
      <c r="P444" s="84">
        <f t="shared" si="40"/>
        <v>2022</v>
      </c>
      <c r="Q444" s="11" t="str">
        <f>VLOOKUP($N444,'2 CODIFICATION'!$G$5:$L$71,3,FALSE)</f>
        <v>Rémunérations du personnel (salaire brut)</v>
      </c>
      <c r="R444" s="53" t="str">
        <f>VLOOKUP($N444,'2 CODIFICATION'!$G$5:$L$71,4,FALSE)</f>
        <v>chges</v>
      </c>
      <c r="S444" s="53">
        <f>VLOOKUP($N444,'2 CODIFICATION'!$G$5:$L$71,5,FALSE)</f>
        <v>64</v>
      </c>
      <c r="T444" s="11" t="str">
        <f>VLOOKUP($N444,'2 CODIFICATION'!$G$5:$L$71,6,FALSE)</f>
        <v>Charges de personnel</v>
      </c>
    </row>
    <row r="445" spans="1:20" ht="15.5" hidden="1" customHeight="1">
      <c r="A445" s="78" t="s">
        <v>528</v>
      </c>
      <c r="B445" s="374" t="s">
        <v>79</v>
      </c>
      <c r="C445" s="383"/>
      <c r="D445" s="369">
        <v>44926</v>
      </c>
      <c r="E445" t="s">
        <v>551</v>
      </c>
      <c r="H445" s="67">
        <v>2500</v>
      </c>
      <c r="I445" s="471">
        <f t="shared" si="37"/>
        <v>-92341.99</v>
      </c>
      <c r="J445" s="361" t="s">
        <v>527</v>
      </c>
      <c r="K445">
        <v>6480</v>
      </c>
      <c r="L445" s="74" t="str">
        <f>VLOOKUP($J445,'2 CODIFICATION'!A$5:B$21,2,"FAUX")</f>
        <v>TOILETTES ECOSAN</v>
      </c>
      <c r="M445" s="74" t="str">
        <f>VLOOKUP($K445,'2 CODIFICATION'!D$8:E$64,2,"FAUX")</f>
        <v>Autres charges de personeel</v>
      </c>
      <c r="N445" s="85">
        <f t="shared" si="38"/>
        <v>648000</v>
      </c>
      <c r="O445" s="14">
        <f t="shared" si="39"/>
        <v>-2500</v>
      </c>
      <c r="P445" s="84">
        <f t="shared" si="40"/>
        <v>2022</v>
      </c>
      <c r="Q445" s="11" t="str">
        <f>VLOOKUP($N445,'2 CODIFICATION'!$G$5:$L$71,3,FALSE)</f>
        <v>Autres charges de personnel</v>
      </c>
      <c r="R445" s="53" t="str">
        <f>VLOOKUP($N445,'2 CODIFICATION'!$G$5:$L$71,4,FALSE)</f>
        <v>chges</v>
      </c>
      <c r="S445" s="53">
        <f>VLOOKUP($N445,'2 CODIFICATION'!$G$5:$L$71,5,FALSE)</f>
        <v>64</v>
      </c>
      <c r="T445" s="11" t="str">
        <f>VLOOKUP($N445,'2 CODIFICATION'!$G$5:$L$71,6,FALSE)</f>
        <v>Charges de personnel</v>
      </c>
    </row>
    <row r="446" spans="1:20" ht="15.5" hidden="1" customHeight="1">
      <c r="A446" s="78" t="s">
        <v>528</v>
      </c>
      <c r="B446" s="374" t="s">
        <v>79</v>
      </c>
      <c r="C446" s="383"/>
      <c r="D446" s="369">
        <v>44926</v>
      </c>
      <c r="E446" t="s">
        <v>552</v>
      </c>
      <c r="H446" s="67">
        <v>10000</v>
      </c>
      <c r="I446" s="471">
        <f t="shared" si="37"/>
        <v>-102341.99</v>
      </c>
      <c r="J446" s="361" t="s">
        <v>527</v>
      </c>
      <c r="K446">
        <v>8620</v>
      </c>
      <c r="L446" s="74" t="str">
        <f>VLOOKUP($J446,'2 CODIFICATION'!A$5:B$21,2,"FAUX")</f>
        <v>TOILETTES ECOSAN</v>
      </c>
      <c r="M446" s="74" t="str">
        <f>VLOOKUP($K446,'2 CODIFICATION'!D$8:E$64,2,"FAUX")</f>
        <v>Prestations</v>
      </c>
      <c r="N446" s="85">
        <f t="shared" si="38"/>
        <v>862000</v>
      </c>
      <c r="O446" s="14">
        <f t="shared" si="39"/>
        <v>-10000</v>
      </c>
      <c r="P446" s="84">
        <f t="shared" si="40"/>
        <v>2022</v>
      </c>
      <c r="Q446" s="11" t="str">
        <f>VLOOKUP($N446,'2 CODIFICATION'!$G$5:$L$71,3,FALSE)</f>
        <v>Prestations</v>
      </c>
      <c r="R446" s="53" t="str">
        <f>VLOOKUP($N446,'2 CODIFICATION'!$G$5:$L$71,4,FALSE)</f>
        <v>chges</v>
      </c>
      <c r="S446" s="53">
        <f>VLOOKUP($N446,'2 CODIFICATION'!$G$5:$L$71,5,FALSE)</f>
        <v>86</v>
      </c>
      <c r="T446" s="11" t="str">
        <f>VLOOKUP($N446,'2 CODIFICATION'!$G$5:$L$71,6,FALSE)</f>
        <v>Emplois des contributions volontaires</v>
      </c>
    </row>
    <row r="447" spans="1:20" ht="15.5" hidden="1" customHeight="1">
      <c r="A447" s="78" t="s">
        <v>528</v>
      </c>
      <c r="B447" s="374" t="s">
        <v>79</v>
      </c>
      <c r="C447" s="383"/>
      <c r="D447" s="369">
        <v>44926</v>
      </c>
      <c r="E447" t="s">
        <v>529</v>
      </c>
      <c r="G447" s="67">
        <v>5500</v>
      </c>
      <c r="I447" s="471">
        <f t="shared" si="37"/>
        <v>-96841.99</v>
      </c>
      <c r="J447" s="361" t="s">
        <v>527</v>
      </c>
      <c r="K447" s="22">
        <v>7771</v>
      </c>
      <c r="L447" s="74" t="str">
        <f>VLOOKUP($J447,'2 CODIFICATION'!A$5:B$21,2,"FAUX")</f>
        <v>TOILETTES ECOSAN</v>
      </c>
      <c r="M447" s="74" t="str">
        <f>VLOOKUP($K447,'2 CODIFICATION'!D$8:E$64,2,"FAUX")</f>
        <v>Dons et participations à l"association</v>
      </c>
      <c r="N447" s="85">
        <f t="shared" si="38"/>
        <v>777100</v>
      </c>
      <c r="O447" s="14">
        <f t="shared" si="39"/>
        <v>5500</v>
      </c>
      <c r="P447" s="84">
        <f t="shared" si="40"/>
        <v>2022</v>
      </c>
      <c r="Q447" s="11" t="str">
        <f>VLOOKUP($N447,'2 CODIFICATION'!$G$5:$L$71,3,FALSE)</f>
        <v>Dons et autres mises à dispositions gratuites</v>
      </c>
      <c r="R447" s="53" t="str">
        <f>VLOOKUP($N447,'2 CODIFICATION'!$G$5:$L$71,4,FALSE)</f>
        <v>pdts</v>
      </c>
      <c r="S447" s="53">
        <f>VLOOKUP($N447,'2 CODIFICATION'!$G$5:$L$71,5,FALSE)</f>
        <v>77</v>
      </c>
      <c r="T447" s="11" t="str">
        <f>VLOOKUP($N447,'2 CODIFICATION'!$G$5:$L$71,6,FALSE)</f>
        <v>Produits exceptionnels</v>
      </c>
    </row>
    <row r="448" spans="1:20" ht="15.5" hidden="1" customHeight="1">
      <c r="A448" s="78" t="s">
        <v>528</v>
      </c>
      <c r="B448" s="374" t="s">
        <v>79</v>
      </c>
      <c r="C448" s="383"/>
      <c r="D448" s="369">
        <v>44926</v>
      </c>
      <c r="E448" t="s">
        <v>538</v>
      </c>
      <c r="G448" s="67">
        <v>30000</v>
      </c>
      <c r="I448" s="471">
        <f t="shared" si="37"/>
        <v>-66841.990000000005</v>
      </c>
      <c r="J448" s="361" t="s">
        <v>527</v>
      </c>
      <c r="K448" s="22">
        <v>7410</v>
      </c>
      <c r="L448" s="74" t="str">
        <f>VLOOKUP($J448,'2 CODIFICATION'!A$5:B$21,2,"FAUX")</f>
        <v>TOILETTES ECOSAN</v>
      </c>
      <c r="M448" s="74" t="str">
        <f>VLOOKUP($K448,'2 CODIFICATION'!D$8:E$64,2,"FAUX")</f>
        <v>Subventions Région Nouvelle Aquitaine</v>
      </c>
      <c r="N448" s="85">
        <f t="shared" si="38"/>
        <v>741000</v>
      </c>
      <c r="O448" s="14">
        <f t="shared" si="39"/>
        <v>30000</v>
      </c>
      <c r="P448" s="84">
        <f t="shared" si="40"/>
        <v>2022</v>
      </c>
      <c r="Q448" s="11" t="str">
        <f>VLOOKUP($N448,'2 CODIFICATION'!$G$5:$L$71,3,FALSE)</f>
        <v>Région Nouvelle-Aquitaine</v>
      </c>
      <c r="R448" s="53" t="str">
        <f>VLOOKUP($N448,'2 CODIFICATION'!$G$5:$L$71,4,FALSE)</f>
        <v>pdts</v>
      </c>
      <c r="S448" s="53">
        <f>VLOOKUP($N448,'2 CODIFICATION'!$G$5:$L$71,5,FALSE)</f>
        <v>74</v>
      </c>
      <c r="T448" s="11" t="str">
        <f>VLOOKUP($N448,'2 CODIFICATION'!$G$5:$L$71,6,FALSE)</f>
        <v>Subventions d'exploitation</v>
      </c>
    </row>
    <row r="449" spans="1:20" ht="15.5" hidden="1" customHeight="1">
      <c r="A449" s="78" t="s">
        <v>528</v>
      </c>
      <c r="B449" s="374" t="s">
        <v>79</v>
      </c>
      <c r="C449" s="383"/>
      <c r="D449" s="369">
        <v>44926</v>
      </c>
      <c r="E449" t="s">
        <v>553</v>
      </c>
      <c r="G449" s="67">
        <v>54497</v>
      </c>
      <c r="I449" s="471">
        <f t="shared" si="37"/>
        <v>-12344.990000000005</v>
      </c>
      <c r="J449" s="361" t="s">
        <v>527</v>
      </c>
      <c r="K449" s="22">
        <v>7430</v>
      </c>
      <c r="L449" s="74" t="str">
        <f>VLOOKUP($J449,'2 CODIFICATION'!A$5:B$21,2,"FAUX")</f>
        <v>TOILETTES ECOSAN</v>
      </c>
      <c r="M449" s="74" t="str">
        <f>VLOOKUP($K449,'2 CODIFICATION'!D$8:E$64,2,"FAUX")</f>
        <v>Subvention Agence Adour Garonne</v>
      </c>
      <c r="N449" s="85">
        <f t="shared" si="38"/>
        <v>743000</v>
      </c>
      <c r="O449" s="14">
        <f t="shared" si="39"/>
        <v>54497</v>
      </c>
      <c r="P449" s="84">
        <f t="shared" si="40"/>
        <v>2022</v>
      </c>
      <c r="Q449" s="11" t="str">
        <f>VLOOKUP($N449,'2 CODIFICATION'!$G$5:$L$71,3,FALSE)</f>
        <v>subvention Agence Adour Garonne</v>
      </c>
      <c r="R449" s="53" t="str">
        <f>VLOOKUP($N449,'2 CODIFICATION'!$G$5:$L$71,4,FALSE)</f>
        <v>pdts</v>
      </c>
      <c r="S449" s="53">
        <f>VLOOKUP($N449,'2 CODIFICATION'!$G$5:$L$71,5,FALSE)</f>
        <v>74</v>
      </c>
      <c r="T449" s="11" t="str">
        <f>VLOOKUP($N449,'2 CODIFICATION'!$G$5:$L$71,6,FALSE)</f>
        <v>Subventions d'exploitation</v>
      </c>
    </row>
    <row r="450" spans="1:20" ht="15.5" hidden="1" customHeight="1">
      <c r="A450" s="78" t="s">
        <v>528</v>
      </c>
      <c r="B450" s="374" t="s">
        <v>79</v>
      </c>
      <c r="C450" s="383"/>
      <c r="D450" s="369">
        <v>44926</v>
      </c>
      <c r="E450" t="s">
        <v>532</v>
      </c>
      <c r="G450" s="67">
        <v>10000</v>
      </c>
      <c r="I450" s="471">
        <f t="shared" si="37"/>
        <v>-2344.9900000000052</v>
      </c>
      <c r="J450" s="361" t="s">
        <v>527</v>
      </c>
      <c r="K450" s="22">
        <v>7420</v>
      </c>
      <c r="L450" s="74" t="str">
        <f>VLOOKUP($J450,'2 CODIFICATION'!A$5:B$21,2,"FAUX")</f>
        <v>TOILETTES ECOSAN</v>
      </c>
      <c r="M450" s="74" t="str">
        <f>VLOOKUP($K450,'2 CODIFICATION'!D$8:E$64,2,"FAUX")</f>
        <v>Subvention Agence Micro Projet</v>
      </c>
      <c r="N450" s="85">
        <f t="shared" si="38"/>
        <v>742000</v>
      </c>
      <c r="O450" s="14">
        <f t="shared" si="39"/>
        <v>10000</v>
      </c>
      <c r="P450" s="84">
        <f t="shared" si="40"/>
        <v>2022</v>
      </c>
      <c r="Q450" s="11" t="str">
        <f>VLOOKUP($N450,'2 CODIFICATION'!$G$5:$L$71,3,FALSE)</f>
        <v>AMP-GRATITUDE</v>
      </c>
      <c r="R450" s="53" t="str">
        <f>VLOOKUP($N450,'2 CODIFICATION'!$G$5:$L$71,4,FALSE)</f>
        <v>pdts</v>
      </c>
      <c r="S450" s="53">
        <f>VLOOKUP($N450,'2 CODIFICATION'!$G$5:$L$71,5,FALSE)</f>
        <v>74</v>
      </c>
      <c r="T450" s="11" t="str">
        <f>VLOOKUP($N450,'2 CODIFICATION'!$G$5:$L$71,6,FALSE)</f>
        <v>Subventions d'exploitation</v>
      </c>
    </row>
    <row r="451" spans="1:20" ht="15.5" hidden="1" customHeight="1">
      <c r="A451" s="78" t="s">
        <v>528</v>
      </c>
      <c r="B451" s="374" t="s">
        <v>79</v>
      </c>
      <c r="C451" s="383"/>
      <c r="D451" s="369">
        <v>44926</v>
      </c>
      <c r="E451" t="s">
        <v>533</v>
      </c>
      <c r="G451" s="67">
        <v>10000</v>
      </c>
      <c r="I451" s="471">
        <f t="shared" si="37"/>
        <v>7655.0099999999948</v>
      </c>
      <c r="J451" s="361" t="s">
        <v>527</v>
      </c>
      <c r="K451" s="265">
        <v>8700</v>
      </c>
      <c r="L451" s="74" t="str">
        <f>VLOOKUP($J451,'2 CODIFICATION'!A$5:B$21,2,"FAUX")</f>
        <v>TOILETTES ECOSAN</v>
      </c>
      <c r="M451" s="74" t="str">
        <f>VLOOKUP($K451,'2 CODIFICATION'!D$8:E$79,2,"FAUX")</f>
        <v>Bénévolat</v>
      </c>
      <c r="N451" s="85">
        <f t="shared" si="38"/>
        <v>870000</v>
      </c>
      <c r="O451" s="14">
        <f t="shared" si="39"/>
        <v>10000</v>
      </c>
      <c r="P451" s="84">
        <f t="shared" si="40"/>
        <v>2022</v>
      </c>
      <c r="Q451" s="11" t="str">
        <f>VLOOKUP($N451,'2 CODIFICATION'!$G$5:$L$71,3,FALSE)</f>
        <v>Bénévolat</v>
      </c>
      <c r="R451" s="53" t="str">
        <f>VLOOKUP($N451,'2 CODIFICATION'!$G$5:$L$71,4,FALSE)</f>
        <v>pdts</v>
      </c>
      <c r="S451" s="53">
        <f>VLOOKUP($N451,'2 CODIFICATION'!$G$5:$L$71,5,FALSE)</f>
        <v>87</v>
      </c>
      <c r="T451" s="11" t="str">
        <f>VLOOKUP($N451,'2 CODIFICATION'!$G$5:$L$71,6,FALSE)</f>
        <v>Contributions volontaires</v>
      </c>
    </row>
    <row r="452" spans="1:20" ht="21.5" hidden="1" customHeight="1">
      <c r="A452" s="78" t="s">
        <v>170</v>
      </c>
      <c r="B452" s="374" t="s">
        <v>79</v>
      </c>
      <c r="C452" s="383">
        <v>74</v>
      </c>
      <c r="D452" s="369">
        <v>44838</v>
      </c>
      <c r="E452" s="370" t="s">
        <v>507</v>
      </c>
      <c r="F452" s="371" t="s">
        <v>258</v>
      </c>
      <c r="G452" s="371"/>
      <c r="H452" s="407">
        <v>6600</v>
      </c>
      <c r="I452" s="473">
        <f t="shared" si="37"/>
        <v>1055.0099999999948</v>
      </c>
      <c r="J452" s="386" t="s">
        <v>198</v>
      </c>
      <c r="K452" s="381">
        <v>6110</v>
      </c>
      <c r="L452" s="74" t="str">
        <f>VLOOKUP($J452,'2 CODIFICATION'!A$5:B$21,2,"FAUX")</f>
        <v>HYGIENE MENSTRUELLE</v>
      </c>
      <c r="M452" s="74" t="str">
        <f>VLOOKUP($K452,'2 CODIFICATION'!D$8:E$61,2,"FAUX")</f>
        <v>Sous traitance projet</v>
      </c>
      <c r="N452" s="45">
        <f t="shared" si="38"/>
        <v>611000</v>
      </c>
      <c r="O452" s="280">
        <f t="shared" si="39"/>
        <v>-6600</v>
      </c>
      <c r="P452" s="84">
        <f t="shared" si="40"/>
        <v>2022</v>
      </c>
      <c r="Q452" s="281" t="str">
        <f>VLOOKUP($N452,'2 CODIFICATION'!$G$5:$L$69,3,FALSE)</f>
        <v xml:space="preserve">Sous-traitance générale </v>
      </c>
      <c r="R452" s="282" t="str">
        <f>VLOOKUP($N452,'2 CODIFICATION'!$G$5:$L$69,4,FALSE)</f>
        <v>chges</v>
      </c>
      <c r="S452" s="282">
        <f>VLOOKUP($N452,'2 CODIFICATION'!$G$5:$L$69,5,FALSE)</f>
        <v>61</v>
      </c>
      <c r="T452" s="281" t="str">
        <f>VLOOKUP($N452,'2 CODIFICATION'!$G$5:$L$69,6,FALSE)</f>
        <v>Services extérieurs</v>
      </c>
    </row>
    <row r="453" spans="1:20" ht="21.5" hidden="1" customHeight="1">
      <c r="A453" s="78" t="s">
        <v>170</v>
      </c>
      <c r="B453" s="374" t="s">
        <v>79</v>
      </c>
      <c r="C453" s="383">
        <v>75</v>
      </c>
      <c r="D453" s="369">
        <v>44838</v>
      </c>
      <c r="E453" s="370" t="s">
        <v>508</v>
      </c>
      <c r="F453" s="371"/>
      <c r="G453" s="406"/>
      <c r="H453" s="407">
        <v>18.399999999999999</v>
      </c>
      <c r="I453" s="473">
        <f t="shared" si="37"/>
        <v>1036.6099999999947</v>
      </c>
      <c r="J453" s="386" t="s">
        <v>198</v>
      </c>
      <c r="K453" s="381">
        <v>6270</v>
      </c>
      <c r="L453" s="74" t="str">
        <f>VLOOKUP($J453,'2 CODIFICATION'!A$5:B$21,2,"FAUX")</f>
        <v>HYGIENE MENSTRUELLE</v>
      </c>
      <c r="M453" s="74" t="str">
        <f>VLOOKUP($K453,'2 CODIFICATION'!D$8:E$61,2,"FAUX")</f>
        <v>Frais de banque</v>
      </c>
      <c r="N453" s="45">
        <f t="shared" si="38"/>
        <v>627000</v>
      </c>
      <c r="O453" s="280">
        <f t="shared" si="39"/>
        <v>-18.399999999999999</v>
      </c>
      <c r="P453" s="84">
        <f t="shared" si="40"/>
        <v>2022</v>
      </c>
      <c r="Q453" s="281" t="str">
        <f>VLOOKUP($N453,'2 CODIFICATION'!$G$5:$L$69,3,FALSE)</f>
        <v>Frais bancaires</v>
      </c>
      <c r="R453" s="282" t="str">
        <f>VLOOKUP($N453,'2 CODIFICATION'!$G$5:$L$69,4,FALSE)</f>
        <v>chges</v>
      </c>
      <c r="S453" s="282">
        <f>VLOOKUP($N453,'2 CODIFICATION'!$G$5:$L$69,5,FALSE)</f>
        <v>62</v>
      </c>
      <c r="T453" s="281" t="str">
        <f>VLOOKUP($N453,'2 CODIFICATION'!$G$5:$L$69,6,FALSE)</f>
        <v>Autres services extérieurs</v>
      </c>
    </row>
    <row r="454" spans="1:20" ht="14.5" hidden="1" customHeight="1">
      <c r="A454" s="427" t="s">
        <v>170</v>
      </c>
      <c r="B454" s="428" t="s">
        <v>79</v>
      </c>
      <c r="C454" s="429">
        <v>82</v>
      </c>
      <c r="D454" s="434">
        <v>44832</v>
      </c>
      <c r="E454" s="435" t="s">
        <v>523</v>
      </c>
      <c r="F454" s="435" t="s">
        <v>253</v>
      </c>
      <c r="G454" s="443">
        <v>23.2</v>
      </c>
      <c r="H454" s="443"/>
      <c r="I454" s="473">
        <f t="shared" si="37"/>
        <v>1059.8099999999947</v>
      </c>
      <c r="J454" s="398" t="s">
        <v>273</v>
      </c>
      <c r="K454" s="452">
        <v>7771</v>
      </c>
      <c r="L454" s="74" t="str">
        <f>VLOOKUP($J454,'2 CODIFICATION'!A$5:B$21,2,"FAUX")</f>
        <v>ADMINIST ET FONCT</v>
      </c>
      <c r="M454" s="74" t="str">
        <f>VLOOKUP($K454,'2 CODIFICATION'!D$5:E$61,2,"FAUX")</f>
        <v>Dons et participations à l"association</v>
      </c>
      <c r="N454" s="45">
        <f>+K454*100</f>
        <v>777100</v>
      </c>
      <c r="O454" s="280">
        <f>G454-H454</f>
        <v>23.2</v>
      </c>
      <c r="P454" s="84">
        <f>YEAR(D454)</f>
        <v>2022</v>
      </c>
      <c r="Q454" s="281" t="str">
        <f>VLOOKUP($N454,'2 CODIFICATION'!$G$5:$L$69,3,FALSE)</f>
        <v>Dons et autres mises à dispositions gratuites</v>
      </c>
      <c r="R454" s="282" t="str">
        <f>VLOOKUP($N454,'2 CODIFICATION'!$G$5:$L$69,4,FALSE)</f>
        <v>pdts</v>
      </c>
      <c r="S454" s="282">
        <f>VLOOKUP($N454,'2 CODIFICATION'!$G$5:$L$69,5,FALSE)</f>
        <v>77</v>
      </c>
      <c r="T454" s="281" t="str">
        <f>VLOOKUP($N454,'2 CODIFICATION'!$G$5:$L$69,6,FALSE)</f>
        <v>Produits exceptionnels</v>
      </c>
    </row>
    <row r="455" spans="1:20" ht="14.5" hidden="1" customHeight="1">
      <c r="A455" s="427" t="s">
        <v>170</v>
      </c>
      <c r="B455" s="428" t="s">
        <v>79</v>
      </c>
      <c r="C455" s="429">
        <v>82</v>
      </c>
      <c r="D455" s="434">
        <v>44832</v>
      </c>
      <c r="E455" s="435" t="s">
        <v>523</v>
      </c>
      <c r="F455" s="435" t="s">
        <v>253</v>
      </c>
      <c r="G455" s="443">
        <f>87.2-G454</f>
        <v>64</v>
      </c>
      <c r="H455" s="443"/>
      <c r="I455" s="473">
        <f>G455+I453-H455</f>
        <v>1100.6099999999947</v>
      </c>
      <c r="J455" s="398" t="s">
        <v>273</v>
      </c>
      <c r="K455" s="399">
        <v>4500</v>
      </c>
      <c r="L455" s="74" t="str">
        <f>VLOOKUP($J455,'2 CODIFICATION'!A$5:B$21,2,"FAUX")</f>
        <v>ADMINIST ET FONCT</v>
      </c>
      <c r="M455" s="74" t="str">
        <f>VLOOKUP($K455,'2 CODIFICATION'!D$5:E$61,2,"FAUX")</f>
        <v>Compte courant</v>
      </c>
      <c r="N455" s="45">
        <f>+K455*100</f>
        <v>450000</v>
      </c>
      <c r="O455" s="280">
        <f>G455-H455</f>
        <v>64</v>
      </c>
      <c r="P455" s="84">
        <f>YEAR(D455)</f>
        <v>2022</v>
      </c>
      <c r="Q455" s="281" t="str">
        <f>VLOOKUP($N455,'2 CODIFICATION'!$G$5:$L$69,3,FALSE)</f>
        <v>Compte courant</v>
      </c>
      <c r="R455" s="282" t="str">
        <f>VLOOKUP($N455,'2 CODIFICATION'!$G$5:$L$69,4,FALSE)</f>
        <v>bilan</v>
      </c>
      <c r="S455" s="282">
        <f>VLOOKUP($N455,'2 CODIFICATION'!$G$5:$L$69,5,FALSE)</f>
        <v>45</v>
      </c>
      <c r="T455" s="281" t="str">
        <f>VLOOKUP($N455,'2 CODIFICATION'!$G$5:$L$69,6,FALSE)</f>
        <v>Compte courant</v>
      </c>
    </row>
    <row r="456" spans="1:20" ht="14.5" hidden="1" customHeight="1">
      <c r="A456" s="427" t="s">
        <v>170</v>
      </c>
      <c r="B456" s="428" t="s">
        <v>79</v>
      </c>
      <c r="C456" s="429">
        <v>82</v>
      </c>
      <c r="D456" s="434">
        <v>44832</v>
      </c>
      <c r="E456" s="435" t="s">
        <v>523</v>
      </c>
      <c r="F456" s="435" t="s">
        <v>253</v>
      </c>
      <c r="G456" s="443"/>
      <c r="H456" s="443">
        <v>100</v>
      </c>
      <c r="I456" s="473">
        <f>G456+I454-H456</f>
        <v>959.80999999999472</v>
      </c>
      <c r="J456" s="398" t="s">
        <v>273</v>
      </c>
      <c r="K456" s="399">
        <v>4500</v>
      </c>
      <c r="L456" s="74" t="str">
        <f>VLOOKUP($J456,'2 CODIFICATION'!A$5:B$21,2,"FAUX")</f>
        <v>ADMINIST ET FONCT</v>
      </c>
      <c r="M456" s="74" t="str">
        <f>VLOOKUP($K456,'2 CODIFICATION'!D$5:E$61,2,"FAUX")</f>
        <v>Compte courant</v>
      </c>
      <c r="N456" s="45">
        <f t="shared" si="38"/>
        <v>450000</v>
      </c>
      <c r="O456" s="280">
        <f t="shared" si="39"/>
        <v>-100</v>
      </c>
      <c r="P456" s="84">
        <f t="shared" si="40"/>
        <v>2022</v>
      </c>
      <c r="Q456" s="281" t="str">
        <f>VLOOKUP($N456,'2 CODIFICATION'!$G$5:$L$69,3,FALSE)</f>
        <v>Compte courant</v>
      </c>
      <c r="R456" s="282" t="str">
        <f>VLOOKUP($N456,'2 CODIFICATION'!$G$5:$L$69,4,FALSE)</f>
        <v>bilan</v>
      </c>
      <c r="S456" s="282">
        <f>VLOOKUP($N456,'2 CODIFICATION'!$G$5:$L$69,5,FALSE)</f>
        <v>45</v>
      </c>
      <c r="T456" s="281" t="str">
        <f>VLOOKUP($N456,'2 CODIFICATION'!$G$5:$L$69,6,FALSE)</f>
        <v>Compte courant</v>
      </c>
    </row>
    <row r="457" spans="1:20" s="449" customFormat="1" ht="14.5" hidden="1" customHeight="1">
      <c r="A457" s="427" t="s">
        <v>170</v>
      </c>
      <c r="B457" s="449" t="s">
        <v>79</v>
      </c>
      <c r="C457" s="450">
        <v>91</v>
      </c>
      <c r="D457" s="451">
        <v>44869</v>
      </c>
      <c r="E457" s="450" t="s">
        <v>557</v>
      </c>
      <c r="F457" s="450" t="s">
        <v>253</v>
      </c>
      <c r="G457" s="478">
        <v>50</v>
      </c>
      <c r="H457" s="478"/>
      <c r="I457" s="473">
        <f t="shared" si="37"/>
        <v>1009.8099999999947</v>
      </c>
      <c r="J457" s="386" t="s">
        <v>273</v>
      </c>
      <c r="K457" s="452">
        <v>7771</v>
      </c>
      <c r="L457" s="74" t="str">
        <f>VLOOKUP($J457,'2 CODIFICATION'!A$5:B$21,2,"FAUX")</f>
        <v>ADMINIST ET FONCT</v>
      </c>
      <c r="M457" s="453" t="str">
        <f>VLOOKUP($K457,'[2]2 CODIFICATION'!D$6:E$49,2,"FAUX")</f>
        <v>Dons et participations à l"association</v>
      </c>
      <c r="N457" s="45">
        <f t="shared" ref="N457:N463" si="41">+K457*100</f>
        <v>777100</v>
      </c>
      <c r="O457" s="206">
        <f t="shared" si="39"/>
        <v>50</v>
      </c>
      <c r="P457" s="74">
        <f t="shared" si="40"/>
        <v>2022</v>
      </c>
      <c r="Q457" s="270" t="str">
        <f>VLOOKUP($N457,'2 CODIFICATION'!$G$5:$L$71,3,FALSE)</f>
        <v>Dons et autres mises à dispositions gratuites</v>
      </c>
      <c r="R457" s="271" t="str">
        <f>VLOOKUP($N457,'2 CODIFICATION'!$G$5:$L$71,4,FALSE)</f>
        <v>pdts</v>
      </c>
      <c r="S457" s="271">
        <f>VLOOKUP($N457,'2 CODIFICATION'!$G$5:$L$71,5,FALSE)</f>
        <v>77</v>
      </c>
      <c r="T457" s="270" t="str">
        <f>VLOOKUP($N457,'2 CODIFICATION'!$G$5:$L$71,6,FALSE)</f>
        <v>Produits exceptionnels</v>
      </c>
    </row>
    <row r="458" spans="1:20" s="449" customFormat="1" ht="14.5" hidden="1" customHeight="1">
      <c r="A458" s="427" t="s">
        <v>170</v>
      </c>
      <c r="B458" s="449" t="s">
        <v>79</v>
      </c>
      <c r="C458" s="450">
        <v>93</v>
      </c>
      <c r="D458" s="451">
        <v>44882</v>
      </c>
      <c r="E458" s="450" t="s">
        <v>558</v>
      </c>
      <c r="F458" s="450" t="s">
        <v>253</v>
      </c>
      <c r="G458" s="478">
        <v>50</v>
      </c>
      <c r="H458" s="478"/>
      <c r="I458" s="473">
        <f t="shared" si="37"/>
        <v>1059.8099999999947</v>
      </c>
      <c r="J458" s="386" t="s">
        <v>273</v>
      </c>
      <c r="K458" s="452">
        <v>7581</v>
      </c>
      <c r="L458" s="74" t="str">
        <f>VLOOKUP($J458,'2 CODIFICATION'!A$5:B$21,2,"FAUX")</f>
        <v>ADMINIST ET FONCT</v>
      </c>
      <c r="M458" s="453" t="str">
        <f>VLOOKUP($K458,'[2]2 CODIFICATION'!D$6:E$49,2,"FAUX")</f>
        <v>Adhésions association</v>
      </c>
      <c r="N458" s="45">
        <f t="shared" si="41"/>
        <v>758100</v>
      </c>
      <c r="O458" s="206">
        <f t="shared" si="39"/>
        <v>50</v>
      </c>
      <c r="P458" s="74">
        <f t="shared" si="40"/>
        <v>2022</v>
      </c>
      <c r="Q458" s="270" t="str">
        <f>VLOOKUP($N458,'2 CODIFICATION'!$G$5:$L$71,3,FALSE)</f>
        <v>Cotisations individuelles et associatives</v>
      </c>
      <c r="R458" s="271" t="str">
        <f>VLOOKUP($N458,'2 CODIFICATION'!$G$5:$L$71,4,FALSE)</f>
        <v>pdts</v>
      </c>
      <c r="S458" s="271">
        <f>VLOOKUP($N458,'2 CODIFICATION'!$G$5:$L$71,5,FALSE)</f>
        <v>75</v>
      </c>
      <c r="T458" s="270" t="str">
        <f>VLOOKUP($N458,'2 CODIFICATION'!$G$5:$L$71,6,FALSE)</f>
        <v>Autres produits de gestion courante</v>
      </c>
    </row>
    <row r="459" spans="1:20" s="449" customFormat="1" ht="14.5" hidden="1" customHeight="1">
      <c r="A459" s="427" t="s">
        <v>170</v>
      </c>
      <c r="B459" s="449" t="s">
        <v>79</v>
      </c>
      <c r="C459" s="450">
        <v>94</v>
      </c>
      <c r="D459" s="451">
        <v>44900</v>
      </c>
      <c r="E459" s="450" t="s">
        <v>559</v>
      </c>
      <c r="F459" s="454" t="s">
        <v>253</v>
      </c>
      <c r="G459" s="479">
        <v>50</v>
      </c>
      <c r="H459" s="479"/>
      <c r="I459" s="473">
        <f t="shared" si="37"/>
        <v>1109.8099999999947</v>
      </c>
      <c r="J459" s="386" t="s">
        <v>273</v>
      </c>
      <c r="K459" s="452">
        <v>7771</v>
      </c>
      <c r="L459" s="74" t="str">
        <f>VLOOKUP($J459,'2 CODIFICATION'!A$5:B$21,2,"FAUX")</f>
        <v>ADMINIST ET FONCT</v>
      </c>
      <c r="M459" s="453" t="str">
        <f>VLOOKUP($K459,'[2]2 CODIFICATION'!D$6:E$49,2,"FAUX")</f>
        <v>Dons et participations à l"association</v>
      </c>
      <c r="N459" s="45">
        <f t="shared" si="41"/>
        <v>777100</v>
      </c>
      <c r="O459" s="206">
        <f t="shared" si="39"/>
        <v>50</v>
      </c>
      <c r="P459" s="74">
        <f t="shared" si="40"/>
        <v>2022</v>
      </c>
      <c r="Q459" s="270" t="str">
        <f>VLOOKUP($N459,'2 CODIFICATION'!$G$5:$L$71,3,FALSE)</f>
        <v>Dons et autres mises à dispositions gratuites</v>
      </c>
      <c r="R459" s="271" t="str">
        <f>VLOOKUP($N459,'2 CODIFICATION'!$G$5:$L$71,4,FALSE)</f>
        <v>pdts</v>
      </c>
      <c r="S459" s="271">
        <f>VLOOKUP($N459,'2 CODIFICATION'!$G$5:$L$71,5,FALSE)</f>
        <v>77</v>
      </c>
      <c r="T459" s="270" t="str">
        <f>VLOOKUP($N459,'2 CODIFICATION'!$G$5:$L$71,6,FALSE)</f>
        <v>Produits exceptionnels</v>
      </c>
    </row>
    <row r="460" spans="1:20" s="449" customFormat="1" ht="15.5" hidden="1" customHeight="1">
      <c r="A460" s="427" t="s">
        <v>170</v>
      </c>
      <c r="B460" s="449" t="s">
        <v>79</v>
      </c>
      <c r="C460" s="450">
        <v>95</v>
      </c>
      <c r="D460" s="451">
        <v>44897</v>
      </c>
      <c r="E460" s="455" t="s">
        <v>560</v>
      </c>
      <c r="F460" s="450" t="s">
        <v>253</v>
      </c>
      <c r="G460" s="478">
        <v>15000</v>
      </c>
      <c r="H460" s="478"/>
      <c r="I460" s="473">
        <f t="shared" si="37"/>
        <v>16109.809999999994</v>
      </c>
      <c r="J460" s="456" t="s">
        <v>527</v>
      </c>
      <c r="K460" s="457">
        <v>7410</v>
      </c>
      <c r="L460" s="74" t="str">
        <f>VLOOKUP($J460,'2 CODIFICATION'!A$5:B$21,2,"FAUX")</f>
        <v>TOILETTES ECOSAN</v>
      </c>
      <c r="M460" s="74" t="str">
        <f>VLOOKUP($K460,'2 CODIFICATION'!D$8:E$61,2,"FAUX")</f>
        <v>Subventions Région Nouvelle Aquitaine</v>
      </c>
      <c r="N460" s="45">
        <f t="shared" si="41"/>
        <v>741000</v>
      </c>
      <c r="O460" s="206">
        <f t="shared" si="39"/>
        <v>15000</v>
      </c>
      <c r="P460" s="74">
        <f t="shared" si="40"/>
        <v>2022</v>
      </c>
      <c r="Q460" s="270" t="str">
        <f>VLOOKUP($N460,'2 CODIFICATION'!$G$5:$L$71,3,FALSE)</f>
        <v>Région Nouvelle-Aquitaine</v>
      </c>
      <c r="R460" s="271" t="str">
        <f>VLOOKUP($N460,'2 CODIFICATION'!$G$5:$L$71,4,FALSE)</f>
        <v>pdts</v>
      </c>
      <c r="S460" s="271">
        <f>VLOOKUP($N460,'2 CODIFICATION'!$G$5:$L$71,5,FALSE)</f>
        <v>74</v>
      </c>
      <c r="T460" s="270" t="str">
        <f>VLOOKUP($N460,'2 CODIFICATION'!$G$5:$L$71,6,FALSE)</f>
        <v>Subventions d'exploitation</v>
      </c>
    </row>
    <row r="461" spans="1:20" ht="21.5" hidden="1" customHeight="1">
      <c r="A461" s="427" t="s">
        <v>170</v>
      </c>
      <c r="B461" s="449" t="s">
        <v>79</v>
      </c>
      <c r="C461" s="450">
        <v>95</v>
      </c>
      <c r="D461" s="459">
        <v>44882</v>
      </c>
      <c r="E461" s="460" t="s">
        <v>556</v>
      </c>
      <c r="F461" s="461"/>
      <c r="G461" s="461">
        <v>50</v>
      </c>
      <c r="H461" s="478"/>
      <c r="I461" s="473">
        <f t="shared" si="37"/>
        <v>16159.809999999994</v>
      </c>
      <c r="J461" s="386" t="s">
        <v>273</v>
      </c>
      <c r="K461" s="452">
        <v>7581</v>
      </c>
      <c r="L461" s="74" t="str">
        <f>VLOOKUP($J461,'2 CODIFICATION'!A$5:B$21,2,"FAUX")</f>
        <v>ADMINIST ET FONCT</v>
      </c>
      <c r="M461" s="458" t="str">
        <f>VLOOKUP($K461,'[2]2 CODIFICATION'!D$6:E$49,2,"FAUX")</f>
        <v>Adhésions association</v>
      </c>
      <c r="N461" s="45">
        <f t="shared" si="41"/>
        <v>758100</v>
      </c>
      <c r="O461" s="206">
        <f t="shared" si="39"/>
        <v>50</v>
      </c>
      <c r="P461" s="74">
        <f t="shared" si="40"/>
        <v>2022</v>
      </c>
      <c r="Q461" s="270" t="str">
        <f>VLOOKUP($N461,'2 CODIFICATION'!$G$5:$L$71,3,FALSE)</f>
        <v>Cotisations individuelles et associatives</v>
      </c>
      <c r="R461" s="271" t="str">
        <f>VLOOKUP($N461,'2 CODIFICATION'!$G$5:$L$71,4,FALSE)</f>
        <v>pdts</v>
      </c>
      <c r="S461" s="271">
        <f>VLOOKUP($N461,'2 CODIFICATION'!$G$5:$L$71,5,FALSE)</f>
        <v>75</v>
      </c>
      <c r="T461" s="270" t="str">
        <f>VLOOKUP($N461,'2 CODIFICATION'!$G$5:$L$71,6,FALSE)</f>
        <v>Autres produits de gestion courante</v>
      </c>
    </row>
    <row r="462" spans="1:20" ht="21.5" hidden="1" customHeight="1">
      <c r="A462" s="427" t="s">
        <v>170</v>
      </c>
      <c r="B462" s="449" t="s">
        <v>79</v>
      </c>
      <c r="C462" s="450">
        <v>95</v>
      </c>
      <c r="D462" s="459">
        <v>44880</v>
      </c>
      <c r="E462" s="460" t="s">
        <v>561</v>
      </c>
      <c r="F462" s="461"/>
      <c r="G462" s="461">
        <v>320</v>
      </c>
      <c r="H462" s="478"/>
      <c r="I462" s="473">
        <f>G462+I460-H462</f>
        <v>16429.809999999994</v>
      </c>
      <c r="J462" s="386" t="s">
        <v>273</v>
      </c>
      <c r="K462" s="452">
        <v>7581</v>
      </c>
      <c r="L462" s="74" t="str">
        <f>VLOOKUP($J462,'2 CODIFICATION'!A$5:B$21,2,"FAUX")</f>
        <v>ADMINIST ET FONCT</v>
      </c>
      <c r="M462" s="458" t="str">
        <f>VLOOKUP($K462,'[2]2 CODIFICATION'!D$6:E$49,2,"FAUX")</f>
        <v>Adhésions association</v>
      </c>
      <c r="N462" s="45">
        <f>+K462*100</f>
        <v>758100</v>
      </c>
      <c r="O462" s="206">
        <f>G462-H462</f>
        <v>320</v>
      </c>
      <c r="P462" s="74">
        <f>YEAR(D462)</f>
        <v>2022</v>
      </c>
      <c r="Q462" s="270" t="str">
        <f>VLOOKUP($N462,'2 CODIFICATION'!$G$5:$L$71,3,FALSE)</f>
        <v>Cotisations individuelles et associatives</v>
      </c>
      <c r="R462" s="271" t="str">
        <f>VLOOKUP($N462,'2 CODIFICATION'!$G$5:$L$71,4,FALSE)</f>
        <v>pdts</v>
      </c>
      <c r="S462" s="271">
        <f>VLOOKUP($N462,'2 CODIFICATION'!$G$5:$L$71,5,FALSE)</f>
        <v>75</v>
      </c>
      <c r="T462" s="270" t="str">
        <f>VLOOKUP($N462,'2 CODIFICATION'!$G$5:$L$71,6,FALSE)</f>
        <v>Autres produits de gestion courante</v>
      </c>
    </row>
    <row r="463" spans="1:20" ht="21.5" hidden="1" customHeight="1">
      <c r="A463" s="427" t="s">
        <v>170</v>
      </c>
      <c r="B463" s="449" t="s">
        <v>79</v>
      </c>
      <c r="C463" s="450">
        <v>95</v>
      </c>
      <c r="D463" s="459">
        <v>44915</v>
      </c>
      <c r="E463" s="460" t="s">
        <v>581</v>
      </c>
      <c r="F463" s="461"/>
      <c r="G463" s="461">
        <v>30</v>
      </c>
      <c r="H463" s="478"/>
      <c r="I463" s="473">
        <f>G463+I461-H463</f>
        <v>16189.809999999994</v>
      </c>
      <c r="J463" s="386" t="s">
        <v>273</v>
      </c>
      <c r="K463" s="452">
        <v>7581</v>
      </c>
      <c r="L463" s="74" t="str">
        <f>VLOOKUP($J463,'2 CODIFICATION'!A$5:B$21,2,"FAUX")</f>
        <v>ADMINIST ET FONCT</v>
      </c>
      <c r="M463" s="458" t="str">
        <f>VLOOKUP($K463,'[2]2 CODIFICATION'!D$6:E$49,2,"FAUX")</f>
        <v>Adhésions association</v>
      </c>
      <c r="N463" s="45">
        <f t="shared" si="41"/>
        <v>758100</v>
      </c>
      <c r="O463" s="206">
        <f t="shared" si="39"/>
        <v>30</v>
      </c>
      <c r="P463" s="74">
        <f t="shared" si="40"/>
        <v>2022</v>
      </c>
      <c r="Q463" s="270" t="str">
        <f>VLOOKUP($N463,'2 CODIFICATION'!$G$5:$L$71,3,FALSE)</f>
        <v>Cotisations individuelles et associatives</v>
      </c>
      <c r="R463" s="271" t="str">
        <f>VLOOKUP($N463,'2 CODIFICATION'!$G$5:$L$71,4,FALSE)</f>
        <v>pdts</v>
      </c>
      <c r="S463" s="271">
        <f>VLOOKUP($N463,'2 CODIFICATION'!$G$5:$L$71,5,FALSE)</f>
        <v>75</v>
      </c>
      <c r="T463" s="270" t="str">
        <f>VLOOKUP($N463,'2 CODIFICATION'!$G$5:$L$71,6,FALSE)</f>
        <v>Autres produits de gestion courante</v>
      </c>
    </row>
    <row r="464" spans="1:20" s="201" customFormat="1" ht="15" hidden="1" customHeight="1">
      <c r="A464" s="201" t="s">
        <v>170</v>
      </c>
      <c r="B464" s="201" t="s">
        <v>79</v>
      </c>
      <c r="C464" s="202"/>
      <c r="D464" s="268">
        <v>44926</v>
      </c>
      <c r="E464" s="204" t="s">
        <v>569</v>
      </c>
      <c r="F464" s="203"/>
      <c r="G464" s="205">
        <v>1800</v>
      </c>
      <c r="H464" s="206"/>
      <c r="I464" s="473">
        <f>G464+I463-H464</f>
        <v>17989.809999999994</v>
      </c>
      <c r="J464" s="74" t="s">
        <v>198</v>
      </c>
      <c r="K464" s="74">
        <f>N464/100</f>
        <v>8700</v>
      </c>
      <c r="L464" s="74" t="str">
        <f>VLOOKUP($J464,'2 CODIFICATION'!A$5:B$17,2,"FAUX")</f>
        <v>HYGIENE MENSTRUELLE</v>
      </c>
      <c r="M464" s="74" t="str">
        <f>VLOOKUP($K464,'2 CODIFICATION'!D$8:E$64,2,"FAUX")</f>
        <v>Bénévolat</v>
      </c>
      <c r="N464" s="269">
        <v>870000</v>
      </c>
      <c r="O464" s="206">
        <f t="shared" si="39"/>
        <v>1800</v>
      </c>
      <c r="P464" s="74">
        <f t="shared" si="40"/>
        <v>2022</v>
      </c>
      <c r="Q464" s="270" t="str">
        <f>VLOOKUP($N464,'2 CODIFICATION'!$G$5:$L$71,3,FALSE)</f>
        <v>Bénévolat</v>
      </c>
      <c r="R464" s="271" t="str">
        <f>VLOOKUP($N464,'2 CODIFICATION'!$G$5:$L$71,4,FALSE)</f>
        <v>pdts</v>
      </c>
      <c r="S464" s="271">
        <f>VLOOKUP($N464,'2 CODIFICATION'!$G$5:$L$71,5,FALSE)</f>
        <v>87</v>
      </c>
      <c r="T464" s="270" t="str">
        <f>VLOOKUP($N464,'2 CODIFICATION'!$G$5:$L$71,6,FALSE)</f>
        <v>Contributions volontaires</v>
      </c>
    </row>
    <row r="465" spans="1:20" s="201" customFormat="1" ht="15" hidden="1" customHeight="1">
      <c r="A465" s="201" t="s">
        <v>170</v>
      </c>
      <c r="B465" s="201" t="s">
        <v>79</v>
      </c>
      <c r="C465" s="202"/>
      <c r="D465" s="268">
        <v>44926</v>
      </c>
      <c r="E465" s="202" t="s">
        <v>570</v>
      </c>
      <c r="F465" s="172"/>
      <c r="G465" s="205"/>
      <c r="H465" s="206">
        <v>1800</v>
      </c>
      <c r="I465" s="473">
        <f>G465+I464-H465</f>
        <v>16189.809999999994</v>
      </c>
      <c r="J465" s="74" t="s">
        <v>198</v>
      </c>
      <c r="K465" s="74">
        <f>N465/100</f>
        <v>8640</v>
      </c>
      <c r="L465" s="74" t="str">
        <f>VLOOKUP($J465,'2 CODIFICATION'!A$5:B$17,2,"FAUX")</f>
        <v>HYGIENE MENSTRUELLE</v>
      </c>
      <c r="M465" s="74" t="str">
        <f>VLOOKUP($K465,'2 CODIFICATION'!D$8:E$64,2,"FAUX")</f>
        <v>Personnels bénévoles</v>
      </c>
      <c r="N465" s="272">
        <v>864000</v>
      </c>
      <c r="O465" s="206">
        <f t="shared" si="39"/>
        <v>-1800</v>
      </c>
      <c r="P465" s="74">
        <f t="shared" si="40"/>
        <v>2022</v>
      </c>
      <c r="Q465" s="270" t="str">
        <f>VLOOKUP($N465,'2 CODIFICATION'!$G$5:$L$71,3,FALSE)</f>
        <v>Personnels bénévoles</v>
      </c>
      <c r="R465" s="271" t="str">
        <f>VLOOKUP($N465,'2 CODIFICATION'!$G$5:$L$71,4,FALSE)</f>
        <v>chges</v>
      </c>
      <c r="S465" s="271">
        <f>VLOOKUP($N465,'2 CODIFICATION'!$G$5:$L$71,5,FALSE)</f>
        <v>86</v>
      </c>
      <c r="T465" s="270" t="str">
        <f>VLOOKUP($N465,'2 CODIFICATION'!$G$5:$L$71,6,FALSE)</f>
        <v>Contributions volontaires</v>
      </c>
    </row>
    <row r="466" spans="1:20" s="201" customFormat="1" ht="15" hidden="1" customHeight="1">
      <c r="A466" s="201" t="s">
        <v>170</v>
      </c>
      <c r="B466" s="201" t="s">
        <v>79</v>
      </c>
      <c r="C466" s="202"/>
      <c r="D466" s="268">
        <v>44926</v>
      </c>
      <c r="E466" s="204" t="s">
        <v>571</v>
      </c>
      <c r="F466" s="203"/>
      <c r="G466" s="205">
        <v>192.94000000000125</v>
      </c>
      <c r="H466" s="206"/>
      <c r="I466" s="473">
        <f>G466+I465-H466</f>
        <v>16382.749999999995</v>
      </c>
      <c r="J466" s="74" t="s">
        <v>273</v>
      </c>
      <c r="K466" s="74">
        <v>7770</v>
      </c>
      <c r="L466" s="74" t="str">
        <f>VLOOKUP($J466,'2 CODIFICATION'!A$5:B$17,2,"FAUX")</f>
        <v>ADMINIST ET FONCT</v>
      </c>
      <c r="M466" s="74" t="str">
        <f>VLOOKUP($K466,'2 CODIFICATION'!D$8:E$79,2,"FAUX")</f>
        <v>Produits exceptionnels</v>
      </c>
      <c r="N466" s="45">
        <f>+K466*100</f>
        <v>777000</v>
      </c>
      <c r="O466" s="206">
        <f t="shared" si="39"/>
        <v>192.94000000000125</v>
      </c>
      <c r="P466" s="74">
        <f>YEAR(D466)</f>
        <v>2022</v>
      </c>
      <c r="Q466" s="270" t="str">
        <f>VLOOKUP($N466,'2 CODIFICATION'!$G$5:$L$71,3,FALSE)</f>
        <v>Produits exceptionnels</v>
      </c>
      <c r="R466" s="271" t="str">
        <f>VLOOKUP($N466,'2 CODIFICATION'!$G$5:$L$71,4,FALSE)</f>
        <v>pdts</v>
      </c>
      <c r="S466" s="271">
        <f>VLOOKUP($N466,'2 CODIFICATION'!$G$5:$L$71,5,FALSE)</f>
        <v>77</v>
      </c>
      <c r="T466" s="270" t="str">
        <f>VLOOKUP($N466,'2 CODIFICATION'!$G$5:$L$71,6,FALSE)</f>
        <v>Produits exceptionnels</v>
      </c>
    </row>
    <row r="467" spans="1:20" s="201" customFormat="1" ht="15" hidden="1" customHeight="1">
      <c r="A467" s="201" t="s">
        <v>170</v>
      </c>
      <c r="B467" s="201" t="s">
        <v>79</v>
      </c>
      <c r="C467" s="202"/>
      <c r="D467" s="268">
        <v>44926</v>
      </c>
      <c r="E467" s="204" t="s">
        <v>571</v>
      </c>
      <c r="F467" s="172"/>
      <c r="G467" s="205"/>
      <c r="H467" s="206">
        <v>192.94000000000125</v>
      </c>
      <c r="I467" s="473">
        <f>G467+I466-H467</f>
        <v>16189.809999999994</v>
      </c>
      <c r="J467" s="74" t="s">
        <v>198</v>
      </c>
      <c r="K467" s="74">
        <v>6280</v>
      </c>
      <c r="L467" s="74" t="str">
        <f>VLOOKUP($J467,'2 CODIFICATION'!A$5:B$17,2,"FAUX")</f>
        <v>HYGIENE MENSTRUELLE</v>
      </c>
      <c r="M467" s="74" t="str">
        <f>VLOOKUP($K467,'2 CODIFICATION'!D$8:E$64,2,"FAUX")</f>
        <v>Divers</v>
      </c>
      <c r="N467" s="45">
        <f>+K467*100</f>
        <v>628000</v>
      </c>
      <c r="O467" s="206">
        <f t="shared" si="39"/>
        <v>-192.94000000000125</v>
      </c>
      <c r="P467" s="74">
        <f>YEAR(D467)</f>
        <v>2022</v>
      </c>
      <c r="Q467" s="270" t="str">
        <f>VLOOKUP($N467,'2 CODIFICATION'!$G$5:$L$71,3,FALSE)</f>
        <v>Divers</v>
      </c>
      <c r="R467" s="271" t="str">
        <f>VLOOKUP($N467,'2 CODIFICATION'!$G$5:$L$71,4,FALSE)</f>
        <v>chges</v>
      </c>
      <c r="S467" s="271">
        <f>VLOOKUP($N467,'2 CODIFICATION'!$G$5:$L$71,5,FALSE)</f>
        <v>62</v>
      </c>
      <c r="T467" s="270" t="str">
        <f>VLOOKUP($N467,'2 CODIFICATION'!$G$5:$L$71,6,FALSE)</f>
        <v>Autres services extérieurs</v>
      </c>
    </row>
    <row r="468" spans="1:20" ht="14.5" hidden="1" customHeight="1">
      <c r="A468" s="72" t="s">
        <v>170</v>
      </c>
      <c r="B468" s="29" t="s">
        <v>79</v>
      </c>
      <c r="C468" s="12">
        <v>2</v>
      </c>
      <c r="D468" s="76">
        <v>44203</v>
      </c>
      <c r="E468" s="126" t="s">
        <v>237</v>
      </c>
      <c r="F468" s="126" t="s">
        <v>252</v>
      </c>
      <c r="G468" s="124"/>
      <c r="H468" s="230">
        <v>124.55</v>
      </c>
      <c r="I468" s="66">
        <f>I169+G468-H468</f>
        <v>1755.0500000000029</v>
      </c>
      <c r="J468" s="163" t="s">
        <v>273</v>
      </c>
      <c r="K468" s="104">
        <v>4860</v>
      </c>
      <c r="L468" s="74" t="s">
        <v>404</v>
      </c>
      <c r="M468" s="74" t="s">
        <v>398</v>
      </c>
      <c r="N468" s="45">
        <v>486000</v>
      </c>
      <c r="O468" s="14">
        <v>-124.55</v>
      </c>
      <c r="P468" s="84">
        <v>2021</v>
      </c>
      <c r="Q468" s="11" t="s">
        <v>398</v>
      </c>
      <c r="R468" s="53" t="s">
        <v>163</v>
      </c>
      <c r="S468" s="53">
        <v>48</v>
      </c>
      <c r="T468" s="11" t="s">
        <v>399</v>
      </c>
    </row>
    <row r="469" spans="1:20" s="78" customFormat="1" ht="15" hidden="1" customHeight="1">
      <c r="A469" s="78" t="s">
        <v>572</v>
      </c>
      <c r="B469" s="78" t="s">
        <v>79</v>
      </c>
      <c r="C469" s="79"/>
      <c r="D469" s="80">
        <v>44927</v>
      </c>
      <c r="E469" s="79" t="s">
        <v>162</v>
      </c>
      <c r="F469" s="147"/>
      <c r="G469" s="464">
        <v>2154.0700000000002</v>
      </c>
      <c r="H469" s="464"/>
      <c r="I469" s="480">
        <f>+G469</f>
        <v>2154.0700000000002</v>
      </c>
      <c r="J469" s="74" t="s">
        <v>273</v>
      </c>
      <c r="K469" s="20">
        <v>5120</v>
      </c>
      <c r="L469" s="74" t="str">
        <f>VLOOKUP($J469,'2 CODIFICATION'!A$5:B$21,2,"FAUX")</f>
        <v>ADMINIST ET FONCT</v>
      </c>
      <c r="M469" s="74" t="str">
        <f>VLOOKUP($K469,'2 CODIFICATION'!D$8:E$64,2,"FAUX")</f>
        <v>Banque</v>
      </c>
      <c r="N469" s="84">
        <f>+K469*100</f>
        <v>512000</v>
      </c>
      <c r="O469" s="206">
        <f t="shared" ref="O469:O474" si="42">G469-H469</f>
        <v>2154.0700000000002</v>
      </c>
      <c r="P469" s="84">
        <f t="shared" ref="P469:P474" si="43">YEAR(D469)</f>
        <v>2023</v>
      </c>
      <c r="Q469" s="11" t="str">
        <f>VLOOKUP($N469,'2 CODIFICATION'!$G$5:$L$71,3,FALSE)</f>
        <v>Banque</v>
      </c>
      <c r="R469" s="53" t="str">
        <f>VLOOKUP($N469,'2 CODIFICATION'!$G$5:$L$71,4,FALSE)</f>
        <v>bilan</v>
      </c>
      <c r="S469" s="53">
        <f>VLOOKUP($N469,'2 CODIFICATION'!$G$5:$L$71,5,FALSE)</f>
        <v>50</v>
      </c>
      <c r="T469" s="11" t="str">
        <f>VLOOKUP($N469,'2 CODIFICATION'!$G$5:$L$71,6,FALSE)</f>
        <v>Trésorerie</v>
      </c>
    </row>
    <row r="470" spans="1:20" s="78" customFormat="1" ht="15" hidden="1" customHeight="1">
      <c r="A470" s="78" t="s">
        <v>572</v>
      </c>
      <c r="B470" s="78" t="s">
        <v>79</v>
      </c>
      <c r="C470" s="79"/>
      <c r="D470" s="80">
        <v>44927</v>
      </c>
      <c r="E470" s="79" t="s">
        <v>162</v>
      </c>
      <c r="F470" s="147"/>
      <c r="G470" s="464">
        <v>14960</v>
      </c>
      <c r="H470" s="82"/>
      <c r="I470" s="471">
        <f>+I469+G470-H470</f>
        <v>17114.07</v>
      </c>
      <c r="J470" s="74" t="s">
        <v>527</v>
      </c>
      <c r="K470" s="20">
        <v>5120</v>
      </c>
      <c r="L470" s="74" t="str">
        <f>VLOOKUP($J470,'2 CODIFICATION'!A$5:B$21,2,"FAUX")</f>
        <v>TOILETTES ECOSAN</v>
      </c>
      <c r="M470" s="74" t="str">
        <f>VLOOKUP($K470,'2 CODIFICATION'!D$8:E$64,2,"FAUX")</f>
        <v>Banque</v>
      </c>
      <c r="N470" s="84">
        <f>+K470*100</f>
        <v>512000</v>
      </c>
      <c r="O470" s="206">
        <f t="shared" si="42"/>
        <v>14960</v>
      </c>
      <c r="P470" s="84">
        <f t="shared" si="43"/>
        <v>2023</v>
      </c>
      <c r="Q470" s="11" t="str">
        <f>VLOOKUP($N470,'2 CODIFICATION'!$G$5:$L$71,3,FALSE)</f>
        <v>Banque</v>
      </c>
      <c r="R470" s="53" t="str">
        <f>VLOOKUP($N470,'2 CODIFICATION'!$G$5:$L$71,4,FALSE)</f>
        <v>bilan</v>
      </c>
      <c r="S470" s="53">
        <f>VLOOKUP($N470,'2 CODIFICATION'!$G$5:$L$71,5,FALSE)</f>
        <v>50</v>
      </c>
      <c r="T470" s="11" t="str">
        <f>VLOOKUP($N470,'2 CODIFICATION'!$G$5:$L$71,6,FALSE)</f>
        <v>Trésorerie</v>
      </c>
    </row>
    <row r="471" spans="1:20" ht="21.5" hidden="1" customHeight="1">
      <c r="A471" s="78" t="s">
        <v>572</v>
      </c>
      <c r="B471" s="374" t="s">
        <v>79</v>
      </c>
      <c r="C471" s="375">
        <v>6</v>
      </c>
      <c r="D471" s="376">
        <v>44933</v>
      </c>
      <c r="E471" s="377" t="s">
        <v>721</v>
      </c>
      <c r="F471" s="378"/>
      <c r="G471" s="378">
        <v>15</v>
      </c>
      <c r="H471" s="379"/>
      <c r="I471" s="471">
        <f t="shared" ref="I471:I499" si="44">+I470+G471-H471</f>
        <v>17129.07</v>
      </c>
      <c r="J471" s="380" t="s">
        <v>273</v>
      </c>
      <c r="K471" s="381">
        <v>5130</v>
      </c>
      <c r="L471" s="74" t="s">
        <v>404</v>
      </c>
      <c r="M471" s="74" t="s">
        <v>160</v>
      </c>
      <c r="N471" s="45">
        <v>513000</v>
      </c>
      <c r="O471" s="206">
        <f t="shared" si="42"/>
        <v>15</v>
      </c>
      <c r="P471" s="74">
        <f t="shared" si="43"/>
        <v>2023</v>
      </c>
      <c r="Q471" s="281" t="s">
        <v>160</v>
      </c>
      <c r="R471" s="282" t="s">
        <v>163</v>
      </c>
      <c r="S471" s="282">
        <v>50</v>
      </c>
      <c r="T471" s="281" t="s">
        <v>210</v>
      </c>
    </row>
    <row r="472" spans="1:20" ht="14.5" hidden="1" customHeight="1">
      <c r="A472" s="78" t="s">
        <v>572</v>
      </c>
      <c r="B472" s="374" t="s">
        <v>79</v>
      </c>
      <c r="C472" s="375">
        <v>8</v>
      </c>
      <c r="D472" s="376">
        <v>44933</v>
      </c>
      <c r="E472" s="377" t="s">
        <v>574</v>
      </c>
      <c r="F472" s="378" t="s">
        <v>253</v>
      </c>
      <c r="G472" s="379">
        <v>1000</v>
      </c>
      <c r="H472" s="382"/>
      <c r="I472" s="471">
        <f t="shared" si="44"/>
        <v>18129.07</v>
      </c>
      <c r="J472" s="380" t="s">
        <v>273</v>
      </c>
      <c r="K472" s="381">
        <v>7581</v>
      </c>
      <c r="L472" s="74" t="s">
        <v>404</v>
      </c>
      <c r="M472" s="74" t="s">
        <v>277</v>
      </c>
      <c r="N472" s="45">
        <v>758100</v>
      </c>
      <c r="O472" s="206">
        <f t="shared" si="42"/>
        <v>1000</v>
      </c>
      <c r="P472" s="74">
        <f t="shared" si="43"/>
        <v>2023</v>
      </c>
      <c r="Q472" s="281" t="s">
        <v>57</v>
      </c>
      <c r="R472" s="282" t="s">
        <v>158</v>
      </c>
      <c r="S472" s="282">
        <v>75</v>
      </c>
      <c r="T472" s="281" t="s">
        <v>53</v>
      </c>
    </row>
    <row r="473" spans="1:20" ht="14.5" hidden="1" customHeight="1">
      <c r="A473" s="78" t="s">
        <v>572</v>
      </c>
      <c r="B473" s="374" t="s">
        <v>79</v>
      </c>
      <c r="C473" s="383">
        <v>13</v>
      </c>
      <c r="D473" s="418">
        <v>44979</v>
      </c>
      <c r="E473" s="74" t="s">
        <v>340</v>
      </c>
      <c r="F473" s="383" t="s">
        <v>449</v>
      </c>
      <c r="G473" s="406"/>
      <c r="H473" s="407">
        <v>60</v>
      </c>
      <c r="I473" s="471">
        <f t="shared" si="44"/>
        <v>18069.07</v>
      </c>
      <c r="J473" s="386" t="s">
        <v>273</v>
      </c>
      <c r="K473" s="381">
        <v>6281</v>
      </c>
      <c r="L473" s="74" t="s">
        <v>404</v>
      </c>
      <c r="M473" s="74" t="s">
        <v>340</v>
      </c>
      <c r="N473" s="45">
        <v>628100</v>
      </c>
      <c r="O473" s="206">
        <f t="shared" si="42"/>
        <v>-60</v>
      </c>
      <c r="P473" s="74">
        <f t="shared" si="43"/>
        <v>2023</v>
      </c>
      <c r="Q473" s="281" t="s">
        <v>125</v>
      </c>
      <c r="R473" s="282" t="s">
        <v>157</v>
      </c>
      <c r="S473" s="282">
        <v>62</v>
      </c>
      <c r="T473" s="281" t="s">
        <v>43</v>
      </c>
    </row>
    <row r="474" spans="1:20" ht="14.5" hidden="1" customHeight="1">
      <c r="A474" s="78" t="s">
        <v>572</v>
      </c>
      <c r="B474" s="374" t="s">
        <v>79</v>
      </c>
      <c r="C474" s="383">
        <v>25</v>
      </c>
      <c r="D474" s="384">
        <v>45003</v>
      </c>
      <c r="E474" s="74" t="s">
        <v>409</v>
      </c>
      <c r="F474" s="383" t="s">
        <v>253</v>
      </c>
      <c r="G474" s="406"/>
      <c r="H474" s="407">
        <v>50</v>
      </c>
      <c r="I474" s="471">
        <f t="shared" si="44"/>
        <v>18019.07</v>
      </c>
      <c r="J474" s="398" t="s">
        <v>273</v>
      </c>
      <c r="K474" s="381">
        <v>6230</v>
      </c>
      <c r="L474" s="74" t="s">
        <v>404</v>
      </c>
      <c r="M474" s="74" t="s">
        <v>409</v>
      </c>
      <c r="N474" s="45">
        <v>623000</v>
      </c>
      <c r="O474" s="206">
        <f t="shared" si="42"/>
        <v>-50</v>
      </c>
      <c r="P474" s="74">
        <f t="shared" si="43"/>
        <v>2023</v>
      </c>
      <c r="Q474" s="281" t="s">
        <v>46</v>
      </c>
      <c r="R474" s="282" t="s">
        <v>157</v>
      </c>
      <c r="S474" s="282">
        <v>62</v>
      </c>
      <c r="T474" s="281" t="s">
        <v>43</v>
      </c>
    </row>
    <row r="475" spans="1:20" ht="15.5" hidden="1" customHeight="1">
      <c r="A475" s="78" t="s">
        <v>572</v>
      </c>
      <c r="B475" s="374" t="s">
        <v>79</v>
      </c>
      <c r="C475" s="383"/>
      <c r="D475" s="369">
        <v>45291</v>
      </c>
      <c r="E475" t="s">
        <v>539</v>
      </c>
      <c r="H475" s="67">
        <v>1800</v>
      </c>
      <c r="I475" s="471">
        <f t="shared" si="44"/>
        <v>16219.07</v>
      </c>
      <c r="J475" s="361" t="s">
        <v>527</v>
      </c>
      <c r="K475">
        <v>6228</v>
      </c>
      <c r="L475" s="74" t="str">
        <f>VLOOKUP($J475,'2 CODIFICATION'!A$5:B$21,2,"FAUX")</f>
        <v>TOILETTES ECOSAN</v>
      </c>
      <c r="M475" s="74" t="str">
        <f>VLOOKUP($K475,'2 CODIFICATION'!D$8:E$64,2,"FAUX")</f>
        <v>formation</v>
      </c>
      <c r="N475" s="85">
        <f t="shared" ref="N475:N498" si="45">+K475*100</f>
        <v>622800</v>
      </c>
      <c r="O475" s="206">
        <f t="shared" ref="O475:O502" si="46">G475-H475</f>
        <v>-1800</v>
      </c>
      <c r="P475" s="84">
        <f t="shared" ref="P475:P499" si="47">YEAR(D475)</f>
        <v>2023</v>
      </c>
      <c r="Q475" s="11" t="str">
        <f>VLOOKUP($N475,'2 CODIFICATION'!$G$5:$L$71,3,FALSE)</f>
        <v>Frais de formation</v>
      </c>
      <c r="R475" s="53" t="str">
        <f>VLOOKUP($N475,'2 CODIFICATION'!$G$5:$L$71,4,FALSE)</f>
        <v>chges</v>
      </c>
      <c r="S475" s="53">
        <f>VLOOKUP($N475,'2 CODIFICATION'!$G$5:$L$71,5,FALSE)</f>
        <v>62</v>
      </c>
      <c r="T475" s="11" t="str">
        <f>VLOOKUP($N475,'2 CODIFICATION'!$G$5:$L$71,6,FALSE)</f>
        <v>Autres services extérieurs</v>
      </c>
    </row>
    <row r="476" spans="1:20" ht="15.5" hidden="1" customHeight="1">
      <c r="A476" s="78" t="s">
        <v>572</v>
      </c>
      <c r="B476" s="374" t="s">
        <v>79</v>
      </c>
      <c r="C476" s="383"/>
      <c r="D476" s="369">
        <v>45291</v>
      </c>
      <c r="E476" t="s">
        <v>542</v>
      </c>
      <c r="H476" s="67">
        <v>450</v>
      </c>
      <c r="I476" s="471">
        <f t="shared" si="44"/>
        <v>15769.07</v>
      </c>
      <c r="J476" s="361" t="s">
        <v>527</v>
      </c>
      <c r="K476">
        <v>6228</v>
      </c>
      <c r="L476" s="74" t="str">
        <f>VLOOKUP($J476,'2 CODIFICATION'!A$5:B$21,2,"FAUX")</f>
        <v>TOILETTES ECOSAN</v>
      </c>
      <c r="M476" s="74" t="str">
        <f>VLOOKUP($K476,'2 CODIFICATION'!D$8:E$64,2,"FAUX")</f>
        <v>formation</v>
      </c>
      <c r="N476" s="85">
        <f t="shared" si="45"/>
        <v>622800</v>
      </c>
      <c r="O476" s="206">
        <f t="shared" si="46"/>
        <v>-450</v>
      </c>
      <c r="P476" s="84">
        <f t="shared" si="47"/>
        <v>2023</v>
      </c>
      <c r="Q476" s="11" t="str">
        <f>VLOOKUP($N476,'2 CODIFICATION'!$G$5:$L$71,3,FALSE)</f>
        <v>Frais de formation</v>
      </c>
      <c r="R476" s="53" t="str">
        <f>VLOOKUP($N476,'2 CODIFICATION'!$G$5:$L$71,4,FALSE)</f>
        <v>chges</v>
      </c>
      <c r="S476" s="53">
        <f>VLOOKUP($N476,'2 CODIFICATION'!$G$5:$L$71,5,FALSE)</f>
        <v>62</v>
      </c>
      <c r="T476" s="11" t="str">
        <f>VLOOKUP($N476,'2 CODIFICATION'!$G$5:$L$71,6,FALSE)</f>
        <v>Autres services extérieurs</v>
      </c>
    </row>
    <row r="477" spans="1:20" ht="15.5" hidden="1" customHeight="1">
      <c r="A477" s="78" t="s">
        <v>572</v>
      </c>
      <c r="B477" s="374" t="s">
        <v>79</v>
      </c>
      <c r="C477" s="383"/>
      <c r="D477" s="369">
        <v>45291</v>
      </c>
      <c r="E477" t="s">
        <v>540</v>
      </c>
      <c r="H477" s="67">
        <v>3500</v>
      </c>
      <c r="I477" s="471">
        <f t="shared" si="44"/>
        <v>12269.07</v>
      </c>
      <c r="J477" s="361" t="s">
        <v>527</v>
      </c>
      <c r="K477">
        <v>6228</v>
      </c>
      <c r="L477" s="74" t="str">
        <f>VLOOKUP($J477,'2 CODIFICATION'!A$5:B$21,2,"FAUX")</f>
        <v>TOILETTES ECOSAN</v>
      </c>
      <c r="M477" s="74" t="str">
        <f>VLOOKUP($K477,'2 CODIFICATION'!D$8:E$64,2,"FAUX")</f>
        <v>formation</v>
      </c>
      <c r="N477" s="85">
        <f t="shared" si="45"/>
        <v>622800</v>
      </c>
      <c r="O477" s="206">
        <f t="shared" si="46"/>
        <v>-3500</v>
      </c>
      <c r="P477" s="84">
        <f t="shared" si="47"/>
        <v>2023</v>
      </c>
      <c r="Q477" s="11" t="str">
        <f>VLOOKUP($N477,'2 CODIFICATION'!$G$5:$L$71,3,FALSE)</f>
        <v>Frais de formation</v>
      </c>
      <c r="R477" s="53" t="str">
        <f>VLOOKUP($N477,'2 CODIFICATION'!$G$5:$L$71,4,FALSE)</f>
        <v>chges</v>
      </c>
      <c r="S477" s="53">
        <f>VLOOKUP($N477,'2 CODIFICATION'!$G$5:$L$71,5,FALSE)</f>
        <v>62</v>
      </c>
      <c r="T477" s="11" t="str">
        <f>VLOOKUP($N477,'2 CODIFICATION'!$G$5:$L$71,6,FALSE)</f>
        <v>Autres services extérieurs</v>
      </c>
    </row>
    <row r="478" spans="1:20" ht="15.5" hidden="1" customHeight="1">
      <c r="A478" s="78" t="s">
        <v>572</v>
      </c>
      <c r="B478" s="374" t="s">
        <v>79</v>
      </c>
      <c r="C478" s="383"/>
      <c r="D478" s="369">
        <v>45291</v>
      </c>
      <c r="E478" t="s">
        <v>541</v>
      </c>
      <c r="H478" s="67">
        <v>3200</v>
      </c>
      <c r="I478" s="471">
        <f t="shared" si="44"/>
        <v>9069.07</v>
      </c>
      <c r="J478" s="361" t="s">
        <v>527</v>
      </c>
      <c r="K478">
        <v>6110</v>
      </c>
      <c r="L478" s="74" t="str">
        <f>VLOOKUP($J478,'2 CODIFICATION'!A$5:B$21,2,"FAUX")</f>
        <v>TOILETTES ECOSAN</v>
      </c>
      <c r="M478" s="74" t="str">
        <f>VLOOKUP($K478,'2 CODIFICATION'!D$8:E$64,2,"FAUX")</f>
        <v>Sous traitance projet</v>
      </c>
      <c r="N478" s="85">
        <f t="shared" si="45"/>
        <v>611000</v>
      </c>
      <c r="O478" s="206">
        <f t="shared" si="46"/>
        <v>-3200</v>
      </c>
      <c r="P478" s="84">
        <f t="shared" si="47"/>
        <v>2023</v>
      </c>
      <c r="Q478" s="11" t="str">
        <f>VLOOKUP($N478,'2 CODIFICATION'!$G$5:$L$71,3,FALSE)</f>
        <v xml:space="preserve">Sous-traitance générale </v>
      </c>
      <c r="R478" s="53" t="str">
        <f>VLOOKUP($N478,'2 CODIFICATION'!$G$5:$L$71,4,FALSE)</f>
        <v>chges</v>
      </c>
      <c r="S478" s="53">
        <f>VLOOKUP($N478,'2 CODIFICATION'!$G$5:$L$71,5,FALSE)</f>
        <v>61</v>
      </c>
      <c r="T478" s="11" t="str">
        <f>VLOOKUP($N478,'2 CODIFICATION'!$G$5:$L$71,6,FALSE)</f>
        <v>Services extérieurs</v>
      </c>
    </row>
    <row r="479" spans="1:20" ht="15.5" hidden="1" customHeight="1">
      <c r="A479" s="78" t="s">
        <v>572</v>
      </c>
      <c r="B479" s="374" t="s">
        <v>79</v>
      </c>
      <c r="C479" s="383"/>
      <c r="D479" s="369">
        <v>45291</v>
      </c>
      <c r="E479" t="s">
        <v>543</v>
      </c>
      <c r="H479" s="67">
        <v>1600</v>
      </c>
      <c r="I479" s="471">
        <f t="shared" si="44"/>
        <v>7469.07</v>
      </c>
      <c r="J479" s="361" t="s">
        <v>527</v>
      </c>
      <c r="K479">
        <v>6110</v>
      </c>
      <c r="L479" s="74" t="str">
        <f>VLOOKUP($J479,'2 CODIFICATION'!A$5:B$21,2,"FAUX")</f>
        <v>TOILETTES ECOSAN</v>
      </c>
      <c r="M479" s="74" t="str">
        <f>VLOOKUP($K479,'2 CODIFICATION'!D$8:E$64,2,"FAUX")</f>
        <v>Sous traitance projet</v>
      </c>
      <c r="N479" s="85">
        <f t="shared" si="45"/>
        <v>611000</v>
      </c>
      <c r="O479" s="206">
        <f t="shared" si="46"/>
        <v>-1600</v>
      </c>
      <c r="P479" s="84">
        <f t="shared" si="47"/>
        <v>2023</v>
      </c>
      <c r="Q479" s="11" t="str">
        <f>VLOOKUP($N479,'2 CODIFICATION'!$G$5:$L$71,3,FALSE)</f>
        <v xml:space="preserve">Sous-traitance générale </v>
      </c>
      <c r="R479" s="53" t="str">
        <f>VLOOKUP($N479,'2 CODIFICATION'!$G$5:$L$71,4,FALSE)</f>
        <v>chges</v>
      </c>
      <c r="S479" s="53">
        <f>VLOOKUP($N479,'2 CODIFICATION'!$G$5:$L$71,5,FALSE)</f>
        <v>61</v>
      </c>
      <c r="T479" s="11" t="str">
        <f>VLOOKUP($N479,'2 CODIFICATION'!$G$5:$L$71,6,FALSE)</f>
        <v>Services extérieurs</v>
      </c>
    </row>
    <row r="480" spans="1:20" ht="15.5" hidden="1" customHeight="1">
      <c r="A480" s="78" t="s">
        <v>572</v>
      </c>
      <c r="B480" s="374" t="s">
        <v>79</v>
      </c>
      <c r="C480" s="383"/>
      <c r="D480" s="369">
        <v>45291</v>
      </c>
      <c r="E480" t="s">
        <v>544</v>
      </c>
      <c r="H480" s="67">
        <v>310</v>
      </c>
      <c r="I480" s="471">
        <f t="shared" si="44"/>
        <v>7159.07</v>
      </c>
      <c r="J480" s="361" t="s">
        <v>527</v>
      </c>
      <c r="K480">
        <v>6228</v>
      </c>
      <c r="L480" s="74" t="str">
        <f>VLOOKUP($J480,'2 CODIFICATION'!A$5:B$21,2,"FAUX")</f>
        <v>TOILETTES ECOSAN</v>
      </c>
      <c r="M480" s="74" t="str">
        <f>VLOOKUP($K480,'2 CODIFICATION'!D$8:E$64,2,"FAUX")</f>
        <v>formation</v>
      </c>
      <c r="N480" s="85">
        <f t="shared" si="45"/>
        <v>622800</v>
      </c>
      <c r="O480" s="206">
        <f t="shared" si="46"/>
        <v>-310</v>
      </c>
      <c r="P480" s="84">
        <f t="shared" si="47"/>
        <v>2023</v>
      </c>
      <c r="Q480" s="11" t="str">
        <f>VLOOKUP($N480,'2 CODIFICATION'!$G$5:$L$71,3,FALSE)</f>
        <v>Frais de formation</v>
      </c>
      <c r="R480" s="53" t="str">
        <f>VLOOKUP($N480,'2 CODIFICATION'!$G$5:$L$71,4,FALSE)</f>
        <v>chges</v>
      </c>
      <c r="S480" s="53">
        <f>VLOOKUP($N480,'2 CODIFICATION'!$G$5:$L$71,5,FALSE)</f>
        <v>62</v>
      </c>
      <c r="T480" s="11" t="str">
        <f>VLOOKUP($N480,'2 CODIFICATION'!$G$5:$L$71,6,FALSE)</f>
        <v>Autres services extérieurs</v>
      </c>
    </row>
    <row r="481" spans="1:20" ht="15.5" hidden="1" customHeight="1">
      <c r="A481" s="78" t="s">
        <v>572</v>
      </c>
      <c r="B481" s="374" t="s">
        <v>79</v>
      </c>
      <c r="C481" s="383"/>
      <c r="D481" s="369">
        <v>45291</v>
      </c>
      <c r="E481" t="s">
        <v>530</v>
      </c>
      <c r="H481" s="67">
        <v>4495</v>
      </c>
      <c r="I481" s="471">
        <f t="shared" si="44"/>
        <v>2664.0699999999997</v>
      </c>
      <c r="J481" s="361" t="s">
        <v>527</v>
      </c>
      <c r="K481">
        <v>6150</v>
      </c>
      <c r="L481" s="74" t="str">
        <f>VLOOKUP($J481,'2 CODIFICATION'!A$5:B$21,2,"FAUX")</f>
        <v>TOILETTES ECOSAN</v>
      </c>
      <c r="M481" s="74" t="str">
        <f>VLOOKUP($K481,'2 CODIFICATION'!D$8:E$64,2,"FAUX")</f>
        <v>Entretien réparation</v>
      </c>
      <c r="N481" s="85">
        <f t="shared" si="45"/>
        <v>615000</v>
      </c>
      <c r="O481" s="206">
        <f t="shared" si="46"/>
        <v>-4495</v>
      </c>
      <c r="P481" s="84">
        <f t="shared" si="47"/>
        <v>2023</v>
      </c>
      <c r="Q481" s="11" t="str">
        <f>VLOOKUP($N481,'2 CODIFICATION'!$G$5:$L$71,3,FALSE)</f>
        <v>Entretien et réparations</v>
      </c>
      <c r="R481" s="53" t="str">
        <f>VLOOKUP($N481,'2 CODIFICATION'!$G$5:$L$71,4,FALSE)</f>
        <v>chges</v>
      </c>
      <c r="S481" s="53">
        <f>VLOOKUP($N481,'2 CODIFICATION'!$G$5:$L$71,5,FALSE)</f>
        <v>61</v>
      </c>
      <c r="T481" s="11" t="str">
        <f>VLOOKUP($N481,'2 CODIFICATION'!$G$5:$L$71,6,FALSE)</f>
        <v>Services extérieurs</v>
      </c>
    </row>
    <row r="482" spans="1:20" ht="15.5" hidden="1" customHeight="1">
      <c r="A482" s="78" t="s">
        <v>572</v>
      </c>
      <c r="B482" s="374" t="s">
        <v>79</v>
      </c>
      <c r="C482" s="383"/>
      <c r="D482" s="369">
        <v>45291</v>
      </c>
      <c r="E482" t="s">
        <v>545</v>
      </c>
      <c r="H482" s="67">
        <v>9146</v>
      </c>
      <c r="I482" s="471">
        <f t="shared" si="44"/>
        <v>-6481.93</v>
      </c>
      <c r="J482" s="361" t="s">
        <v>527</v>
      </c>
      <c r="K482">
        <v>6150</v>
      </c>
      <c r="L482" s="74" t="str">
        <f>VLOOKUP($J482,'2 CODIFICATION'!A$5:B$21,2,"FAUX")</f>
        <v>TOILETTES ECOSAN</v>
      </c>
      <c r="M482" s="74" t="str">
        <f>VLOOKUP($K482,'2 CODIFICATION'!D$8:E$64,2,"FAUX")</f>
        <v>Entretien réparation</v>
      </c>
      <c r="N482" s="85">
        <f t="shared" si="45"/>
        <v>615000</v>
      </c>
      <c r="O482" s="206">
        <f t="shared" si="46"/>
        <v>-9146</v>
      </c>
      <c r="P482" s="84">
        <f t="shared" si="47"/>
        <v>2023</v>
      </c>
      <c r="Q482" s="11" t="str">
        <f>VLOOKUP($N482,'2 CODIFICATION'!$G$5:$L$71,3,FALSE)</f>
        <v>Entretien et réparations</v>
      </c>
      <c r="R482" s="53" t="str">
        <f>VLOOKUP($N482,'2 CODIFICATION'!$G$5:$L$71,4,FALSE)</f>
        <v>chges</v>
      </c>
      <c r="S482" s="53">
        <f>VLOOKUP($N482,'2 CODIFICATION'!$G$5:$L$71,5,FALSE)</f>
        <v>61</v>
      </c>
      <c r="T482" s="11" t="str">
        <f>VLOOKUP($N482,'2 CODIFICATION'!$G$5:$L$71,6,FALSE)</f>
        <v>Services extérieurs</v>
      </c>
    </row>
    <row r="483" spans="1:20" ht="15.5" hidden="1" customHeight="1">
      <c r="A483" s="78" t="s">
        <v>572</v>
      </c>
      <c r="B483" s="374" t="s">
        <v>79</v>
      </c>
      <c r="C483" s="383"/>
      <c r="D483" s="369">
        <v>45291</v>
      </c>
      <c r="E483" t="s">
        <v>546</v>
      </c>
      <c r="H483" s="67">
        <v>2000</v>
      </c>
      <c r="I483" s="471">
        <f t="shared" si="44"/>
        <v>-8481.93</v>
      </c>
      <c r="J483" s="361" t="s">
        <v>527</v>
      </c>
      <c r="K483">
        <v>6230</v>
      </c>
      <c r="L483" s="74" t="str">
        <f>VLOOKUP($J483,'2 CODIFICATION'!A$5:B$21,2,"FAUX")</f>
        <v>TOILETTES ECOSAN</v>
      </c>
      <c r="M483" s="74" t="str">
        <f>VLOOKUP($K483,'2 CODIFICATION'!D$8:E$64,2,"FAUX")</f>
        <v>communication</v>
      </c>
      <c r="N483" s="85">
        <f t="shared" si="45"/>
        <v>623000</v>
      </c>
      <c r="O483" s="206">
        <f t="shared" si="46"/>
        <v>-2000</v>
      </c>
      <c r="P483" s="84">
        <f t="shared" si="47"/>
        <v>2023</v>
      </c>
      <c r="Q483" s="11" t="str">
        <f>VLOOKUP($N483,'2 CODIFICATION'!$G$5:$L$71,3,FALSE)</f>
        <v>Publicité, publications, Création de site web</v>
      </c>
      <c r="R483" s="53" t="str">
        <f>VLOOKUP($N483,'2 CODIFICATION'!$G$5:$L$71,4,FALSE)</f>
        <v>chges</v>
      </c>
      <c r="S483" s="53">
        <f>VLOOKUP($N483,'2 CODIFICATION'!$G$5:$L$71,5,FALSE)</f>
        <v>62</v>
      </c>
      <c r="T483" s="11" t="str">
        <f>VLOOKUP($N483,'2 CODIFICATION'!$G$5:$L$71,6,FALSE)</f>
        <v>Autres services extérieurs</v>
      </c>
    </row>
    <row r="484" spans="1:20" ht="15.5" hidden="1" customHeight="1">
      <c r="A484" s="78" t="s">
        <v>572</v>
      </c>
      <c r="B484" s="374" t="s">
        <v>79</v>
      </c>
      <c r="C484" s="383"/>
      <c r="D484" s="369">
        <v>45291</v>
      </c>
      <c r="E484" t="s">
        <v>547</v>
      </c>
      <c r="H484" s="67">
        <v>45555</v>
      </c>
      <c r="I484" s="471">
        <f t="shared" si="44"/>
        <v>-54036.93</v>
      </c>
      <c r="J484" s="361" t="s">
        <v>527</v>
      </c>
      <c r="K484">
        <v>6110</v>
      </c>
      <c r="L484" s="74" t="str">
        <f>VLOOKUP($J484,'2 CODIFICATION'!A$5:B$21,2,"FAUX")</f>
        <v>TOILETTES ECOSAN</v>
      </c>
      <c r="M484" s="74" t="str">
        <f>VLOOKUP($K484,'2 CODIFICATION'!D$8:E$64,2,"FAUX")</f>
        <v>Sous traitance projet</v>
      </c>
      <c r="N484" s="85">
        <f t="shared" si="45"/>
        <v>611000</v>
      </c>
      <c r="O484" s="206">
        <f t="shared" si="46"/>
        <v>-45555</v>
      </c>
      <c r="P484" s="84">
        <f t="shared" si="47"/>
        <v>2023</v>
      </c>
      <c r="Q484" s="11" t="str">
        <f>VLOOKUP($N484,'2 CODIFICATION'!$G$5:$L$71,3,FALSE)</f>
        <v xml:space="preserve">Sous-traitance générale </v>
      </c>
      <c r="R484" s="53" t="str">
        <f>VLOOKUP($N484,'2 CODIFICATION'!$G$5:$L$71,4,FALSE)</f>
        <v>chges</v>
      </c>
      <c r="S484" s="53">
        <f>VLOOKUP($N484,'2 CODIFICATION'!$G$5:$L$71,5,FALSE)</f>
        <v>61</v>
      </c>
      <c r="T484" s="11" t="str">
        <f>VLOOKUP($N484,'2 CODIFICATION'!$G$5:$L$71,6,FALSE)</f>
        <v>Services extérieurs</v>
      </c>
    </row>
    <row r="485" spans="1:20" ht="15.5" hidden="1" customHeight="1">
      <c r="A485" s="78" t="s">
        <v>572</v>
      </c>
      <c r="B485" s="374" t="s">
        <v>79</v>
      </c>
      <c r="C485" s="383"/>
      <c r="D485" s="369">
        <v>45291</v>
      </c>
      <c r="E485" t="s">
        <v>548</v>
      </c>
      <c r="H485" s="67">
        <v>3500</v>
      </c>
      <c r="I485" s="471">
        <f t="shared" si="44"/>
        <v>-57536.93</v>
      </c>
      <c r="J485" s="361" t="s">
        <v>527</v>
      </c>
      <c r="K485">
        <v>6110</v>
      </c>
      <c r="L485" s="74" t="str">
        <f>VLOOKUP($J485,'2 CODIFICATION'!A$5:B$21,2,"FAUX")</f>
        <v>TOILETTES ECOSAN</v>
      </c>
      <c r="M485" s="74" t="str">
        <f>VLOOKUP($K485,'2 CODIFICATION'!D$8:E$64,2,"FAUX")</f>
        <v>Sous traitance projet</v>
      </c>
      <c r="N485" s="85">
        <f t="shared" si="45"/>
        <v>611000</v>
      </c>
      <c r="O485" s="206">
        <f t="shared" si="46"/>
        <v>-3500</v>
      </c>
      <c r="P485" s="84">
        <f t="shared" si="47"/>
        <v>2023</v>
      </c>
      <c r="Q485" s="11" t="str">
        <f>VLOOKUP($N485,'2 CODIFICATION'!$G$5:$L$71,3,FALSE)</f>
        <v xml:space="preserve">Sous-traitance générale </v>
      </c>
      <c r="R485" s="53" t="str">
        <f>VLOOKUP($N485,'2 CODIFICATION'!$G$5:$L$71,4,FALSE)</f>
        <v>chges</v>
      </c>
      <c r="S485" s="53">
        <f>VLOOKUP($N485,'2 CODIFICATION'!$G$5:$L$71,5,FALSE)</f>
        <v>61</v>
      </c>
      <c r="T485" s="11" t="str">
        <f>VLOOKUP($N485,'2 CODIFICATION'!$G$5:$L$71,6,FALSE)</f>
        <v>Services extérieurs</v>
      </c>
    </row>
    <row r="486" spans="1:20" ht="15.5" hidden="1" customHeight="1">
      <c r="A486" s="78" t="s">
        <v>572</v>
      </c>
      <c r="B486" s="374" t="s">
        <v>79</v>
      </c>
      <c r="C486" s="383"/>
      <c r="D486" s="369">
        <v>45291</v>
      </c>
      <c r="E486" t="s">
        <v>531</v>
      </c>
      <c r="H486" s="67">
        <v>5797</v>
      </c>
      <c r="I486" s="471">
        <f t="shared" si="44"/>
        <v>-63333.93</v>
      </c>
      <c r="J486" s="361" t="s">
        <v>527</v>
      </c>
      <c r="K486" s="582">
        <v>6250</v>
      </c>
      <c r="L486" s="74" t="str">
        <f>VLOOKUP($J486,'2 CODIFICATION'!A$5:B$21,2,"FAUX")</f>
        <v>TOILETTES ECOSAN</v>
      </c>
      <c r="M486" s="74" t="str">
        <f>VLOOKUP($K486,'2 CODIFICATION'!D$8:E$64,2,"FAUX")</f>
        <v>déplacements</v>
      </c>
      <c r="N486" s="85">
        <f t="shared" si="45"/>
        <v>625000</v>
      </c>
      <c r="O486" s="206">
        <f t="shared" si="46"/>
        <v>-5797</v>
      </c>
      <c r="P486" s="84">
        <f t="shared" si="47"/>
        <v>2023</v>
      </c>
      <c r="Q486" s="11" t="str">
        <f>VLOOKUP($N486,'2 CODIFICATION'!$G$5:$L$71,3,FALSE)</f>
        <v>Déplacements, missions et réceptions</v>
      </c>
      <c r="R486" s="53" t="str">
        <f>VLOOKUP($N486,'2 CODIFICATION'!$G$5:$L$71,4,FALSE)</f>
        <v>chges</v>
      </c>
      <c r="S486" s="53">
        <f>VLOOKUP($N486,'2 CODIFICATION'!$G$5:$L$71,5,FALSE)</f>
        <v>62</v>
      </c>
      <c r="T486" s="11" t="str">
        <f>VLOOKUP($N486,'2 CODIFICATION'!$G$5:$L$71,6,FALSE)</f>
        <v>Autres services extérieurs</v>
      </c>
    </row>
    <row r="487" spans="1:20" ht="15.5" hidden="1" customHeight="1">
      <c r="A487" s="78" t="s">
        <v>572</v>
      </c>
      <c r="B487" s="374" t="s">
        <v>79</v>
      </c>
      <c r="C487" s="383"/>
      <c r="D487" s="369">
        <v>45291</v>
      </c>
      <c r="E487" t="s">
        <v>549</v>
      </c>
      <c r="H487" s="67">
        <v>960</v>
      </c>
      <c r="I487" s="471">
        <f t="shared" si="44"/>
        <v>-64293.93</v>
      </c>
      <c r="J487" s="361" t="s">
        <v>527</v>
      </c>
      <c r="K487">
        <v>6280</v>
      </c>
      <c r="L487" s="74" t="str">
        <f>VLOOKUP($J487,'2 CODIFICATION'!A$5:B$21,2,"FAUX")</f>
        <v>TOILETTES ECOSAN</v>
      </c>
      <c r="M487" s="74" t="str">
        <f>VLOOKUP($K487,'2 CODIFICATION'!D$8:E$64,2,"FAUX")</f>
        <v>Divers</v>
      </c>
      <c r="N487" s="85">
        <f t="shared" si="45"/>
        <v>628000</v>
      </c>
      <c r="O487" s="206">
        <f t="shared" si="46"/>
        <v>-960</v>
      </c>
      <c r="P487" s="84">
        <f t="shared" si="47"/>
        <v>2023</v>
      </c>
      <c r="Q487" s="11" t="str">
        <f>VLOOKUP($N487,'2 CODIFICATION'!$G$5:$L$71,3,FALSE)</f>
        <v>Divers</v>
      </c>
      <c r="R487" s="53" t="str">
        <f>VLOOKUP($N487,'2 CODIFICATION'!$G$5:$L$71,4,FALSE)</f>
        <v>chges</v>
      </c>
      <c r="S487" s="53">
        <f>VLOOKUP($N487,'2 CODIFICATION'!$G$5:$L$71,5,FALSE)</f>
        <v>62</v>
      </c>
      <c r="T487" s="11" t="str">
        <f>VLOOKUP($N487,'2 CODIFICATION'!$G$5:$L$71,6,FALSE)</f>
        <v>Autres services extérieurs</v>
      </c>
    </row>
    <row r="488" spans="1:20" ht="15.5" hidden="1" customHeight="1">
      <c r="A488" s="78" t="s">
        <v>572</v>
      </c>
      <c r="B488" s="374" t="s">
        <v>79</v>
      </c>
      <c r="C488" s="383"/>
      <c r="D488" s="369">
        <v>45291</v>
      </c>
      <c r="E488" t="s">
        <v>549</v>
      </c>
      <c r="H488" s="67">
        <v>1000</v>
      </c>
      <c r="I488" s="471">
        <f t="shared" si="44"/>
        <v>-65293.93</v>
      </c>
      <c r="J488" s="361" t="s">
        <v>527</v>
      </c>
      <c r="K488">
        <v>6262</v>
      </c>
      <c r="L488" s="74" t="str">
        <f>VLOOKUP($J488,'2 CODIFICATION'!A$5:B$21,2,"FAUX")</f>
        <v>TOILETTES ECOSAN</v>
      </c>
      <c r="M488" s="74" t="str">
        <f>VLOOKUP($K488,'2 CODIFICATION'!D$8:E$64,2,"FAUX")</f>
        <v>Téléphone</v>
      </c>
      <c r="N488" s="85">
        <f>+K488*100</f>
        <v>626200</v>
      </c>
      <c r="O488" s="206">
        <f t="shared" si="46"/>
        <v>-1000</v>
      </c>
      <c r="P488" s="84">
        <f>YEAR(D488)</f>
        <v>2023</v>
      </c>
      <c r="Q488" s="11" t="str">
        <f>VLOOKUP($N488,'2 CODIFICATION'!$G$5:$L$71,3,FALSE)</f>
        <v>Frais de téléphone, fax et portables</v>
      </c>
      <c r="R488" s="53" t="str">
        <f>VLOOKUP($N488,'2 CODIFICATION'!$G$5:$L$71,4,FALSE)</f>
        <v>chges</v>
      </c>
      <c r="S488" s="53">
        <f>VLOOKUP($N488,'2 CODIFICATION'!$G$5:$L$71,5,FALSE)</f>
        <v>62</v>
      </c>
      <c r="T488" s="11" t="str">
        <f>VLOOKUP($N488,'2 CODIFICATION'!$G$5:$L$71,6,FALSE)</f>
        <v>Autres services extérieurs</v>
      </c>
    </row>
    <row r="489" spans="1:20" ht="15.5" hidden="1" customHeight="1">
      <c r="A489" s="78" t="s">
        <v>572</v>
      </c>
      <c r="B489" s="374" t="s">
        <v>79</v>
      </c>
      <c r="C489" s="383"/>
      <c r="D489" s="369">
        <v>45291</v>
      </c>
      <c r="E489" t="s">
        <v>549</v>
      </c>
      <c r="H489" s="67">
        <v>1000</v>
      </c>
      <c r="I489" s="471">
        <f t="shared" si="44"/>
        <v>-66293.929999999993</v>
      </c>
      <c r="J489" s="361" t="s">
        <v>527</v>
      </c>
      <c r="K489">
        <v>6261</v>
      </c>
      <c r="L489" s="74" t="str">
        <f>VLOOKUP($J489,'2 CODIFICATION'!A$5:B$21,2,"FAUX")</f>
        <v>TOILETTES ECOSAN</v>
      </c>
      <c r="M489" s="74" t="str">
        <f>VLOOKUP($K489,'2 CODIFICATION'!D$8:E$64,2,"FAUX")</f>
        <v>Frais d'envoi</v>
      </c>
      <c r="N489" s="85">
        <f t="shared" si="45"/>
        <v>626100</v>
      </c>
      <c r="O489" s="206">
        <f t="shared" si="46"/>
        <v>-1000</v>
      </c>
      <c r="P489" s="84">
        <f t="shared" si="47"/>
        <v>2023</v>
      </c>
      <c r="Q489" s="11" t="str">
        <f>VLOOKUP($N489,'2 CODIFICATION'!$G$5:$L$71,3,FALSE)</f>
        <v>Frais postaux</v>
      </c>
      <c r="R489" s="53" t="str">
        <f>VLOOKUP($N489,'2 CODIFICATION'!$G$5:$L$71,4,FALSE)</f>
        <v>chges</v>
      </c>
      <c r="S489" s="53">
        <f>VLOOKUP($N489,'2 CODIFICATION'!$G$5:$L$71,5,FALSE)</f>
        <v>62</v>
      </c>
      <c r="T489" s="11" t="str">
        <f>VLOOKUP($N489,'2 CODIFICATION'!$G$5:$L$71,6,FALSE)</f>
        <v>Autres services extérieurs</v>
      </c>
    </row>
    <row r="490" spans="1:20" ht="15.5" hidden="1" customHeight="1">
      <c r="A490" s="78" t="s">
        <v>572</v>
      </c>
      <c r="B490" s="374" t="s">
        <v>79</v>
      </c>
      <c r="C490" s="383"/>
      <c r="D490" s="369">
        <v>45291</v>
      </c>
      <c r="E490" t="s">
        <v>550</v>
      </c>
      <c r="H490" s="67">
        <v>13144</v>
      </c>
      <c r="I490" s="471">
        <f t="shared" si="44"/>
        <v>-79437.929999999993</v>
      </c>
      <c r="J490" s="361" t="s">
        <v>527</v>
      </c>
      <c r="K490">
        <v>6410</v>
      </c>
      <c r="L490" s="74" t="str">
        <f>VLOOKUP($J490,'2 CODIFICATION'!A$5:B$21,2,"FAUX")</f>
        <v>TOILETTES ECOSAN</v>
      </c>
      <c r="M490" s="74" t="str">
        <f>VLOOKUP($K490,'2 CODIFICATION'!D$8:E$64,2,"FAUX")</f>
        <v>Rémunérations</v>
      </c>
      <c r="N490" s="85">
        <f t="shared" si="45"/>
        <v>641000</v>
      </c>
      <c r="O490" s="206">
        <f t="shared" si="46"/>
        <v>-13144</v>
      </c>
      <c r="P490" s="84">
        <f t="shared" si="47"/>
        <v>2023</v>
      </c>
      <c r="Q490" s="11" t="str">
        <f>VLOOKUP($N490,'2 CODIFICATION'!$G$5:$L$71,3,FALSE)</f>
        <v>Rémunérations du personnel (salaire brut)</v>
      </c>
      <c r="R490" s="53" t="str">
        <f>VLOOKUP($N490,'2 CODIFICATION'!$G$5:$L$71,4,FALSE)</f>
        <v>chges</v>
      </c>
      <c r="S490" s="53">
        <f>VLOOKUP($N490,'2 CODIFICATION'!$G$5:$L$71,5,FALSE)</f>
        <v>64</v>
      </c>
      <c r="T490" s="11" t="str">
        <f>VLOOKUP($N490,'2 CODIFICATION'!$G$5:$L$71,6,FALSE)</f>
        <v>Charges de personnel</v>
      </c>
    </row>
    <row r="491" spans="1:20" ht="15.5" hidden="1" customHeight="1">
      <c r="A491" s="78" t="s">
        <v>572</v>
      </c>
      <c r="B491" s="374" t="s">
        <v>79</v>
      </c>
      <c r="C491" s="383"/>
      <c r="D491" s="369">
        <v>45291</v>
      </c>
      <c r="E491" t="s">
        <v>551</v>
      </c>
      <c r="H491" s="67">
        <v>2500</v>
      </c>
      <c r="I491" s="471">
        <f t="shared" si="44"/>
        <v>-81937.929999999993</v>
      </c>
      <c r="J491" s="361" t="s">
        <v>527</v>
      </c>
      <c r="K491">
        <v>6480</v>
      </c>
      <c r="L491" s="74" t="str">
        <f>VLOOKUP($J491,'2 CODIFICATION'!A$5:B$21,2,"FAUX")</f>
        <v>TOILETTES ECOSAN</v>
      </c>
      <c r="M491" s="74" t="str">
        <f>VLOOKUP($K491,'2 CODIFICATION'!D$8:E$64,2,"FAUX")</f>
        <v>Autres charges de personeel</v>
      </c>
      <c r="N491" s="85">
        <f t="shared" si="45"/>
        <v>648000</v>
      </c>
      <c r="O491" s="206">
        <f t="shared" si="46"/>
        <v>-2500</v>
      </c>
      <c r="P491" s="84">
        <f t="shared" si="47"/>
        <v>2023</v>
      </c>
      <c r="Q491" s="11" t="str">
        <f>VLOOKUP($N491,'2 CODIFICATION'!$G$5:$L$71,3,FALSE)</f>
        <v>Autres charges de personnel</v>
      </c>
      <c r="R491" s="53" t="str">
        <f>VLOOKUP($N491,'2 CODIFICATION'!$G$5:$L$71,4,FALSE)</f>
        <v>chges</v>
      </c>
      <c r="S491" s="53">
        <f>VLOOKUP($N491,'2 CODIFICATION'!$G$5:$L$71,5,FALSE)</f>
        <v>64</v>
      </c>
      <c r="T491" s="11" t="str">
        <f>VLOOKUP($N491,'2 CODIFICATION'!$G$5:$L$71,6,FALSE)</f>
        <v>Charges de personnel</v>
      </c>
    </row>
    <row r="492" spans="1:20" ht="15.5" hidden="1" customHeight="1">
      <c r="A492" s="78" t="s">
        <v>572</v>
      </c>
      <c r="B492" s="374" t="s">
        <v>79</v>
      </c>
      <c r="C492" s="383"/>
      <c r="D492" s="369">
        <v>45291</v>
      </c>
      <c r="E492" t="s">
        <v>552</v>
      </c>
      <c r="H492" s="67">
        <v>10000</v>
      </c>
      <c r="I492" s="471">
        <f t="shared" si="44"/>
        <v>-91937.93</v>
      </c>
      <c r="J492" s="361" t="s">
        <v>527</v>
      </c>
      <c r="K492">
        <v>8620</v>
      </c>
      <c r="L492" s="74" t="str">
        <f>VLOOKUP($J492,'2 CODIFICATION'!A$5:B$21,2,"FAUX")</f>
        <v>TOILETTES ECOSAN</v>
      </c>
      <c r="M492" s="74" t="str">
        <f>VLOOKUP($K492,'2 CODIFICATION'!D$8:E$64,2,"FAUX")</f>
        <v>Prestations</v>
      </c>
      <c r="N492" s="85">
        <f t="shared" si="45"/>
        <v>862000</v>
      </c>
      <c r="O492" s="206">
        <f t="shared" si="46"/>
        <v>-10000</v>
      </c>
      <c r="P492" s="84">
        <f t="shared" si="47"/>
        <v>2023</v>
      </c>
      <c r="Q492" s="11" t="str">
        <f>VLOOKUP($N492,'2 CODIFICATION'!$G$5:$L$71,3,FALSE)</f>
        <v>Prestations</v>
      </c>
      <c r="R492" s="53" t="str">
        <f>VLOOKUP($N492,'2 CODIFICATION'!$G$5:$L$71,4,FALSE)</f>
        <v>chges</v>
      </c>
      <c r="S492" s="53">
        <f>VLOOKUP($N492,'2 CODIFICATION'!$G$5:$L$71,5,FALSE)</f>
        <v>86</v>
      </c>
      <c r="T492" s="11" t="str">
        <f>VLOOKUP($N492,'2 CODIFICATION'!$G$5:$L$71,6,FALSE)</f>
        <v>Emplois des contributions volontaires</v>
      </c>
    </row>
    <row r="493" spans="1:20" ht="15.5" hidden="1" customHeight="1">
      <c r="A493" s="78" t="s">
        <v>572</v>
      </c>
      <c r="B493" s="374" t="s">
        <v>79</v>
      </c>
      <c r="C493" s="383"/>
      <c r="D493" s="369">
        <v>45291</v>
      </c>
      <c r="E493" t="s">
        <v>529</v>
      </c>
      <c r="G493" s="67">
        <v>5500</v>
      </c>
      <c r="I493" s="471">
        <f t="shared" si="44"/>
        <v>-86437.93</v>
      </c>
      <c r="J493" s="361" t="s">
        <v>527</v>
      </c>
      <c r="K493" s="22">
        <v>7771</v>
      </c>
      <c r="L493" s="74" t="str">
        <f>VLOOKUP($J493,'2 CODIFICATION'!A$5:B$21,2,"FAUX")</f>
        <v>TOILETTES ECOSAN</v>
      </c>
      <c r="M493" s="74" t="str">
        <f>VLOOKUP($K493,'2 CODIFICATION'!D$8:E$64,2,"FAUX")</f>
        <v>Dons et participations à l"association</v>
      </c>
      <c r="N493" s="85">
        <f t="shared" si="45"/>
        <v>777100</v>
      </c>
      <c r="O493" s="206">
        <f t="shared" si="46"/>
        <v>5500</v>
      </c>
      <c r="P493" s="84">
        <f t="shared" si="47"/>
        <v>2023</v>
      </c>
      <c r="Q493" s="11" t="str">
        <f>VLOOKUP($N493,'2 CODIFICATION'!$G$5:$L$71,3,FALSE)</f>
        <v>Dons et autres mises à dispositions gratuites</v>
      </c>
      <c r="R493" s="53" t="str">
        <f>VLOOKUP($N493,'2 CODIFICATION'!$G$5:$L$71,4,FALSE)</f>
        <v>pdts</v>
      </c>
      <c r="S493" s="53">
        <f>VLOOKUP($N493,'2 CODIFICATION'!$G$5:$L$71,5,FALSE)</f>
        <v>77</v>
      </c>
      <c r="T493" s="11" t="str">
        <f>VLOOKUP($N493,'2 CODIFICATION'!$G$5:$L$71,6,FALSE)</f>
        <v>Produits exceptionnels</v>
      </c>
    </row>
    <row r="494" spans="1:20" ht="15.5" hidden="1" customHeight="1">
      <c r="A494" s="78" t="s">
        <v>572</v>
      </c>
      <c r="B494" s="374" t="s">
        <v>79</v>
      </c>
      <c r="C494" s="383"/>
      <c r="D494" s="369">
        <v>45291</v>
      </c>
      <c r="E494" t="s">
        <v>538</v>
      </c>
      <c r="G494" s="465">
        <v>15000</v>
      </c>
      <c r="I494" s="471">
        <f t="shared" si="44"/>
        <v>-71437.929999999993</v>
      </c>
      <c r="J494" s="361" t="s">
        <v>527</v>
      </c>
      <c r="K494" s="22">
        <v>7410</v>
      </c>
      <c r="L494" s="74" t="str">
        <f>VLOOKUP($J494,'2 CODIFICATION'!A$5:B$21,2,"FAUX")</f>
        <v>TOILETTES ECOSAN</v>
      </c>
      <c r="M494" s="74" t="str">
        <f>VLOOKUP($K494,'2 CODIFICATION'!D$8:E$64,2,"FAUX")</f>
        <v>Subventions Région Nouvelle Aquitaine</v>
      </c>
      <c r="N494" s="85">
        <f t="shared" si="45"/>
        <v>741000</v>
      </c>
      <c r="O494" s="206">
        <f t="shared" si="46"/>
        <v>15000</v>
      </c>
      <c r="P494" s="84">
        <f t="shared" si="47"/>
        <v>2023</v>
      </c>
      <c r="Q494" s="11" t="str">
        <f>VLOOKUP($N494,'2 CODIFICATION'!$G$5:$L$71,3,FALSE)</f>
        <v>Région Nouvelle-Aquitaine</v>
      </c>
      <c r="R494" s="53" t="str">
        <f>VLOOKUP($N494,'2 CODIFICATION'!$G$5:$L$71,4,FALSE)</f>
        <v>pdts</v>
      </c>
      <c r="S494" s="53">
        <f>VLOOKUP($N494,'2 CODIFICATION'!$G$5:$L$71,5,FALSE)</f>
        <v>74</v>
      </c>
      <c r="T494" s="11" t="str">
        <f>VLOOKUP($N494,'2 CODIFICATION'!$G$5:$L$71,6,FALSE)</f>
        <v>Subventions d'exploitation</v>
      </c>
    </row>
    <row r="495" spans="1:20" ht="15.5" hidden="1" customHeight="1">
      <c r="A495" s="78" t="s">
        <v>572</v>
      </c>
      <c r="B495" s="374" t="s">
        <v>79</v>
      </c>
      <c r="C495" s="383"/>
      <c r="D495" s="369">
        <v>45291</v>
      </c>
      <c r="E495" t="s">
        <v>553</v>
      </c>
      <c r="G495" s="67">
        <v>54497</v>
      </c>
      <c r="I495" s="471">
        <f t="shared" si="44"/>
        <v>-16940.929999999993</v>
      </c>
      <c r="J495" s="361" t="s">
        <v>527</v>
      </c>
      <c r="K495" s="22">
        <v>7430</v>
      </c>
      <c r="L495" s="74" t="str">
        <f>VLOOKUP($J495,'2 CODIFICATION'!A$5:B$21,2,"FAUX")</f>
        <v>TOILETTES ECOSAN</v>
      </c>
      <c r="M495" s="74" t="str">
        <f>VLOOKUP($K495,'2 CODIFICATION'!D$8:E$64,2,"FAUX")</f>
        <v>Subvention Agence Adour Garonne</v>
      </c>
      <c r="N495" s="85">
        <f t="shared" si="45"/>
        <v>743000</v>
      </c>
      <c r="O495" s="206">
        <f t="shared" si="46"/>
        <v>54497</v>
      </c>
      <c r="P495" s="84">
        <f t="shared" si="47"/>
        <v>2023</v>
      </c>
      <c r="Q495" s="11" t="str">
        <f>VLOOKUP($N495,'2 CODIFICATION'!$G$5:$L$71,3,FALSE)</f>
        <v>subvention Agence Adour Garonne</v>
      </c>
      <c r="R495" s="53" t="str">
        <f>VLOOKUP($N495,'2 CODIFICATION'!$G$5:$L$71,4,FALSE)</f>
        <v>pdts</v>
      </c>
      <c r="S495" s="53">
        <f>VLOOKUP($N495,'2 CODIFICATION'!$G$5:$L$71,5,FALSE)</f>
        <v>74</v>
      </c>
      <c r="T495" s="11" t="str">
        <f>VLOOKUP($N495,'2 CODIFICATION'!$G$5:$L$71,6,FALSE)</f>
        <v>Subventions d'exploitation</v>
      </c>
    </row>
    <row r="496" spans="1:20" ht="15.5" hidden="1" customHeight="1">
      <c r="A496" s="78" t="s">
        <v>572</v>
      </c>
      <c r="B496" s="374" t="s">
        <v>79</v>
      </c>
      <c r="C496" s="383"/>
      <c r="D496" s="369">
        <v>45291</v>
      </c>
      <c r="E496" t="s">
        <v>532</v>
      </c>
      <c r="G496" s="67">
        <v>10000</v>
      </c>
      <c r="I496" s="471">
        <f t="shared" si="44"/>
        <v>-6940.929999999993</v>
      </c>
      <c r="J496" s="361" t="s">
        <v>527</v>
      </c>
      <c r="K496" s="22">
        <v>7420</v>
      </c>
      <c r="L496" s="74" t="str">
        <f>VLOOKUP($J496,'2 CODIFICATION'!A$5:B$21,2,"FAUX")</f>
        <v>TOILETTES ECOSAN</v>
      </c>
      <c r="M496" s="74" t="str">
        <f>VLOOKUP($K496,'2 CODIFICATION'!D$8:E$64,2,"FAUX")</f>
        <v>Subvention Agence Micro Projet</v>
      </c>
      <c r="N496" s="85">
        <f t="shared" si="45"/>
        <v>742000</v>
      </c>
      <c r="O496" s="206">
        <f t="shared" si="46"/>
        <v>10000</v>
      </c>
      <c r="P496" s="84">
        <f t="shared" si="47"/>
        <v>2023</v>
      </c>
      <c r="Q496" s="11" t="str">
        <f>VLOOKUP($N496,'2 CODIFICATION'!$G$5:$L$71,3,FALSE)</f>
        <v>AMP-GRATITUDE</v>
      </c>
      <c r="R496" s="53" t="str">
        <f>VLOOKUP($N496,'2 CODIFICATION'!$G$5:$L$71,4,FALSE)</f>
        <v>pdts</v>
      </c>
      <c r="S496" s="53">
        <f>VLOOKUP($N496,'2 CODIFICATION'!$G$5:$L$71,5,FALSE)</f>
        <v>74</v>
      </c>
      <c r="T496" s="11" t="str">
        <f>VLOOKUP($N496,'2 CODIFICATION'!$G$5:$L$71,6,FALSE)</f>
        <v>Subventions d'exploitation</v>
      </c>
    </row>
    <row r="497" spans="1:20" ht="15.5" hidden="1" customHeight="1">
      <c r="A497" s="78" t="s">
        <v>572</v>
      </c>
      <c r="B497" s="374" t="s">
        <v>79</v>
      </c>
      <c r="C497" s="383"/>
      <c r="D497" s="369">
        <v>45291</v>
      </c>
      <c r="E497" t="s">
        <v>533</v>
      </c>
      <c r="G497" s="67">
        <v>10000</v>
      </c>
      <c r="I497" s="471">
        <f t="shared" si="44"/>
        <v>3059.070000000007</v>
      </c>
      <c r="J497" s="361" t="s">
        <v>527</v>
      </c>
      <c r="K497" s="265">
        <v>8700</v>
      </c>
      <c r="L497" s="74" t="str">
        <f>VLOOKUP($J497,'2 CODIFICATION'!A$5:B$21,2,"FAUX")</f>
        <v>TOILETTES ECOSAN</v>
      </c>
      <c r="M497" s="74" t="str">
        <f>VLOOKUP($K497,'2 CODIFICATION'!D$8:E$79,2,"FAUX")</f>
        <v>Bénévolat</v>
      </c>
      <c r="N497" s="85">
        <f t="shared" si="45"/>
        <v>870000</v>
      </c>
      <c r="O497" s="206">
        <f t="shared" si="46"/>
        <v>10000</v>
      </c>
      <c r="P497" s="84">
        <f t="shared" si="47"/>
        <v>2023</v>
      </c>
      <c r="Q497" s="11" t="str">
        <f>VLOOKUP($N497,'2 CODIFICATION'!$G$5:$L$71,3,FALSE)</f>
        <v>Bénévolat</v>
      </c>
      <c r="R497" s="53" t="str">
        <f>VLOOKUP($N497,'2 CODIFICATION'!$G$5:$L$71,4,FALSE)</f>
        <v>pdts</v>
      </c>
      <c r="S497" s="53">
        <f>VLOOKUP($N497,'2 CODIFICATION'!$G$5:$L$71,5,FALSE)</f>
        <v>87</v>
      </c>
      <c r="T497" s="11" t="str">
        <f>VLOOKUP($N497,'2 CODIFICATION'!$G$5:$L$71,6,FALSE)</f>
        <v>Contributions volontaires</v>
      </c>
    </row>
    <row r="498" spans="1:20" s="78" customFormat="1" ht="15" hidden="1" customHeight="1">
      <c r="A498" s="78" t="s">
        <v>572</v>
      </c>
      <c r="B498" s="78" t="s">
        <v>79</v>
      </c>
      <c r="C498" s="79"/>
      <c r="D498" s="369">
        <v>45107</v>
      </c>
      <c r="E498" s="74" t="s">
        <v>278</v>
      </c>
      <c r="F498" s="147"/>
      <c r="G498" s="81"/>
      <c r="H498" s="82">
        <v>100</v>
      </c>
      <c r="I498" s="471">
        <f t="shared" si="44"/>
        <v>2959.070000000007</v>
      </c>
      <c r="J498" s="74" t="s">
        <v>273</v>
      </c>
      <c r="K498" s="20">
        <v>6064</v>
      </c>
      <c r="L498" s="74" t="str">
        <f>VLOOKUP($J498,'2 CODIFICATION'!A$5:B$21,2,"FAUX")</f>
        <v>ADMINIST ET FONCT</v>
      </c>
      <c r="M498" s="74" t="str">
        <f>VLOOKUP($K498,'2 CODIFICATION'!D$8:E$64,2,"FAUX")</f>
        <v>Frais de fonctionnement et fourniture</v>
      </c>
      <c r="N498" s="85">
        <f t="shared" si="45"/>
        <v>606400</v>
      </c>
      <c r="O498" s="206">
        <f t="shared" si="46"/>
        <v>-100</v>
      </c>
      <c r="P498" s="84">
        <f t="shared" si="47"/>
        <v>2023</v>
      </c>
      <c r="Q498" s="11" t="str">
        <f>VLOOKUP($N498,'2 CODIFICATION'!$G$5:$L$71,3,FALSE)</f>
        <v>Fournitures administratives</v>
      </c>
      <c r="R498" s="53" t="str">
        <f>VLOOKUP($N498,'2 CODIFICATION'!$G$5:$L$71,4,FALSE)</f>
        <v>chges</v>
      </c>
      <c r="S498" s="53">
        <f>VLOOKUP($N498,'2 CODIFICATION'!$G$5:$L$71,5,FALSE)</f>
        <v>60</v>
      </c>
      <c r="T498" s="11" t="str">
        <f>VLOOKUP($N498,'2 CODIFICATION'!$G$5:$L$71,6,FALSE)</f>
        <v>Achat</v>
      </c>
    </row>
    <row r="499" spans="1:20" s="513" customFormat="1" ht="14.5" hidden="1" customHeight="1">
      <c r="A499" s="512" t="s">
        <v>572</v>
      </c>
      <c r="B499" s="513" t="s">
        <v>79</v>
      </c>
      <c r="C499" s="514">
        <f>1+C497</f>
        <v>1</v>
      </c>
      <c r="D499" s="515">
        <v>44927</v>
      </c>
      <c r="E499" s="516" t="s">
        <v>167</v>
      </c>
      <c r="F499" s="514" t="s">
        <v>252</v>
      </c>
      <c r="G499" s="517"/>
      <c r="H499" s="518">
        <v>140</v>
      </c>
      <c r="I499" s="519">
        <f t="shared" si="44"/>
        <v>2819.070000000007</v>
      </c>
      <c r="J499" s="380" t="s">
        <v>273</v>
      </c>
      <c r="K499" s="520">
        <v>6160</v>
      </c>
      <c r="L499" s="521" t="str">
        <f>VLOOKUP($J499,'2 CODIFICATION'!A$5:B$21,2,"FAUX")</f>
        <v>ADMINIST ET FONCT</v>
      </c>
      <c r="M499" s="521" t="str">
        <f>VLOOKUP($K499,'2 CODIFICATION'!D$8:E$61,2,"FAUX")</f>
        <v>Assurance RC</v>
      </c>
      <c r="N499" s="522">
        <f>+K499*100</f>
        <v>616000</v>
      </c>
      <c r="O499" s="523">
        <f t="shared" si="46"/>
        <v>-140</v>
      </c>
      <c r="P499" s="524">
        <f t="shared" si="47"/>
        <v>2023</v>
      </c>
      <c r="Q499" s="525" t="str">
        <f>VLOOKUP($N499,'2 CODIFICATION'!$G$5:$L$69,3,FALSE)</f>
        <v>Primes d'assurance</v>
      </c>
      <c r="R499" s="526" t="str">
        <f>VLOOKUP($N499,'2 CODIFICATION'!$G$5:$L$69,4,FALSE)</f>
        <v>chges</v>
      </c>
      <c r="S499" s="526">
        <f>VLOOKUP($N499,'2 CODIFICATION'!$G$5:$L$69,5,FALSE)</f>
        <v>61</v>
      </c>
      <c r="T499" s="525" t="str">
        <f>VLOOKUP($N499,'2 CODIFICATION'!$G$5:$L$69,6,FALSE)</f>
        <v>Services extérieurs</v>
      </c>
    </row>
    <row r="500" spans="1:20" s="201" customFormat="1" ht="15" hidden="1" customHeight="1">
      <c r="A500" s="201" t="s">
        <v>170</v>
      </c>
      <c r="B500" s="201" t="s">
        <v>79</v>
      </c>
      <c r="C500" s="202"/>
      <c r="D500" s="268">
        <v>44927</v>
      </c>
      <c r="E500" s="202" t="s">
        <v>162</v>
      </c>
      <c r="F500" s="172"/>
      <c r="G500" s="527">
        <v>15</v>
      </c>
      <c r="H500" s="527"/>
      <c r="I500" s="529">
        <f>+G500</f>
        <v>15</v>
      </c>
      <c r="J500" s="521" t="s">
        <v>273</v>
      </c>
      <c r="K500" s="20">
        <f>N500/100</f>
        <v>5120</v>
      </c>
      <c r="L500" s="74" t="str">
        <f>VLOOKUP($J500,'2 CODIFICATION'!A$5:B$21,2,"FAUX")</f>
        <v>ADMINIST ET FONCT</v>
      </c>
      <c r="M500" s="74" t="str">
        <f>VLOOKUP($K500,'2 CODIFICATION'!D$8:E$64,2,"FAUX")</f>
        <v>Banque</v>
      </c>
      <c r="N500" s="74">
        <v>512000</v>
      </c>
      <c r="O500" s="206">
        <f>G500-H500</f>
        <v>15</v>
      </c>
      <c r="P500" s="74">
        <f>YEAR(D500)</f>
        <v>2023</v>
      </c>
      <c r="Q500" s="270" t="str">
        <f>VLOOKUP($N500,'2 CODIFICATION'!$G$5:$L$71,3,FALSE)</f>
        <v>Banque</v>
      </c>
      <c r="R500" s="271" t="str">
        <f>VLOOKUP($N500,'2 CODIFICATION'!$G$5:$L$71,4,FALSE)</f>
        <v>bilan</v>
      </c>
      <c r="S500" s="271">
        <f>VLOOKUP($N500,'2 CODIFICATION'!$G$5:$L$71,5,FALSE)</f>
        <v>50</v>
      </c>
      <c r="T500" s="270" t="str">
        <f>VLOOKUP($N500,'2 CODIFICATION'!$G$5:$L$71,6,FALSE)</f>
        <v>Trésorerie</v>
      </c>
    </row>
    <row r="501" spans="1:20" s="201" customFormat="1" ht="15" hidden="1" customHeight="1">
      <c r="A501" s="201" t="s">
        <v>170</v>
      </c>
      <c r="B501" s="201" t="s">
        <v>79</v>
      </c>
      <c r="C501" s="202"/>
      <c r="D501" s="268">
        <v>44927</v>
      </c>
      <c r="E501" s="202" t="s">
        <v>162</v>
      </c>
      <c r="F501" s="172"/>
      <c r="G501" s="527">
        <v>2154.0700000000002</v>
      </c>
      <c r="H501" s="527"/>
      <c r="I501" s="477">
        <f>+I500+G501-H501</f>
        <v>2169.0700000000002</v>
      </c>
      <c r="J501" s="521" t="s">
        <v>273</v>
      </c>
      <c r="K501" s="20">
        <f>N501/100</f>
        <v>5120</v>
      </c>
      <c r="L501" s="74" t="str">
        <f>VLOOKUP($J501,'2 CODIFICATION'!A$5:B$21,2,"FAUX")</f>
        <v>ADMINIST ET FONCT</v>
      </c>
      <c r="M501" s="74" t="str">
        <f>VLOOKUP($K501,'2 CODIFICATION'!D$8:E$64,2,"FAUX")</f>
        <v>Banque</v>
      </c>
      <c r="N501" s="74">
        <v>512000</v>
      </c>
      <c r="O501" s="206">
        <f t="shared" si="46"/>
        <v>2154.0700000000002</v>
      </c>
      <c r="P501" s="74">
        <f>YEAR(D501)</f>
        <v>2023</v>
      </c>
      <c r="Q501" s="270" t="str">
        <f>VLOOKUP($N501,'2 CODIFICATION'!$G$5:$L$71,3,FALSE)</f>
        <v>Banque</v>
      </c>
      <c r="R501" s="271" t="str">
        <f>VLOOKUP($N501,'2 CODIFICATION'!$G$5:$L$71,4,FALSE)</f>
        <v>bilan</v>
      </c>
      <c r="S501" s="271">
        <f>VLOOKUP($N501,'2 CODIFICATION'!$G$5:$L$71,5,FALSE)</f>
        <v>50</v>
      </c>
      <c r="T501" s="270" t="str">
        <f>VLOOKUP($N501,'2 CODIFICATION'!$G$5:$L$71,6,FALSE)</f>
        <v>Trésorerie</v>
      </c>
    </row>
    <row r="502" spans="1:20" s="201" customFormat="1" ht="15" hidden="1" customHeight="1">
      <c r="A502" s="201" t="s">
        <v>170</v>
      </c>
      <c r="B502" s="201" t="s">
        <v>79</v>
      </c>
      <c r="C502" s="202"/>
      <c r="D502" s="268">
        <v>44927</v>
      </c>
      <c r="E502" s="202" t="s">
        <v>162</v>
      </c>
      <c r="F502" s="172"/>
      <c r="G502" s="527">
        <v>14960</v>
      </c>
      <c r="H502" s="527"/>
      <c r="I502" s="477">
        <f>+I501+G502-H502</f>
        <v>17129.07</v>
      </c>
      <c r="J502" s="521" t="s">
        <v>527</v>
      </c>
      <c r="K502" s="20">
        <f>N502/100</f>
        <v>5120</v>
      </c>
      <c r="L502" s="74" t="str">
        <f>VLOOKUP($J502,'2 CODIFICATION'!A$5:B$21,2,"FAUX")</f>
        <v>TOILETTES ECOSAN</v>
      </c>
      <c r="M502" s="74" t="str">
        <f>VLOOKUP($K502,'2 CODIFICATION'!D$8:E$64,2,"FAUX")</f>
        <v>Banque</v>
      </c>
      <c r="N502" s="74">
        <v>512000</v>
      </c>
      <c r="O502" s="206">
        <f t="shared" si="46"/>
        <v>14960</v>
      </c>
      <c r="P502" s="74">
        <f>YEAR(D502)</f>
        <v>2023</v>
      </c>
      <c r="Q502" s="270" t="str">
        <f>VLOOKUP($N502,'2 CODIFICATION'!$G$5:$L$71,3,FALSE)</f>
        <v>Banque</v>
      </c>
      <c r="R502" s="271" t="str">
        <f>VLOOKUP($N502,'2 CODIFICATION'!$G$5:$L$71,4,FALSE)</f>
        <v>bilan</v>
      </c>
      <c r="S502" s="271">
        <f>VLOOKUP($N502,'2 CODIFICATION'!$G$5:$L$71,5,FALSE)</f>
        <v>50</v>
      </c>
      <c r="T502" s="270" t="str">
        <f>VLOOKUP($N502,'2 CODIFICATION'!$G$5:$L$71,6,FALSE)</f>
        <v>Trésorerie</v>
      </c>
    </row>
    <row r="503" spans="1:20" ht="15.5" hidden="1" customHeight="1">
      <c r="A503" s="201" t="s">
        <v>170</v>
      </c>
      <c r="B503" s="374" t="s">
        <v>79</v>
      </c>
      <c r="C503" s="383"/>
      <c r="D503" s="369">
        <v>45291</v>
      </c>
      <c r="E503" t="s">
        <v>552</v>
      </c>
      <c r="H503" s="67">
        <v>10000</v>
      </c>
      <c r="I503" s="471">
        <f t="shared" ref="I503:I553" si="48">+I502+G503-H503</f>
        <v>7129.07</v>
      </c>
      <c r="J503" s="361" t="s">
        <v>527</v>
      </c>
      <c r="K503" s="22">
        <v>8640</v>
      </c>
      <c r="L503" s="74" t="str">
        <f>VLOOKUP($J503,'2 CODIFICATION'!A$5:B$21,2,"FAUX")</f>
        <v>TOILETTES ECOSAN</v>
      </c>
      <c r="M503" s="74" t="str">
        <f>VLOOKUP($K503,'2 CODIFICATION'!D$8:E$64,2,"FAUX")</f>
        <v>Personnels bénévoles</v>
      </c>
      <c r="N503" s="85">
        <f>+K503*100</f>
        <v>864000</v>
      </c>
      <c r="O503" s="206">
        <f>G503-H503</f>
        <v>-10000</v>
      </c>
      <c r="P503" s="84">
        <f>YEAR(D503)</f>
        <v>2023</v>
      </c>
      <c r="Q503" s="11" t="str">
        <f>VLOOKUP($N503,'2 CODIFICATION'!$G$5:$L$71,3,FALSE)</f>
        <v>Personnels bénévoles</v>
      </c>
      <c r="R503" s="53" t="str">
        <f>VLOOKUP($N503,'2 CODIFICATION'!$G$5:$L$71,4,FALSE)</f>
        <v>chges</v>
      </c>
      <c r="S503" s="53">
        <f>VLOOKUP($N503,'2 CODIFICATION'!$G$5:$L$71,5,FALSE)</f>
        <v>86</v>
      </c>
      <c r="T503" s="11" t="str">
        <f>VLOOKUP($N503,'2 CODIFICATION'!$G$5:$L$71,6,FALSE)</f>
        <v>Contributions volontaires</v>
      </c>
    </row>
    <row r="504" spans="1:20" ht="15.5" hidden="1" customHeight="1">
      <c r="A504" s="201" t="s">
        <v>170</v>
      </c>
      <c r="B504" s="374" t="s">
        <v>79</v>
      </c>
      <c r="C504" s="383"/>
      <c r="D504" s="369">
        <v>45291</v>
      </c>
      <c r="E504" t="s">
        <v>533</v>
      </c>
      <c r="G504" s="67">
        <v>10000</v>
      </c>
      <c r="I504" s="471">
        <f t="shared" si="48"/>
        <v>17129.07</v>
      </c>
      <c r="J504" s="361" t="s">
        <v>527</v>
      </c>
      <c r="K504" s="265">
        <v>8700</v>
      </c>
      <c r="L504" s="74" t="str">
        <f>VLOOKUP($J504,'2 CODIFICATION'!A$5:B$21,2,"FAUX")</f>
        <v>TOILETTES ECOSAN</v>
      </c>
      <c r="M504" s="74" t="str">
        <f>VLOOKUP($K504,'2 CODIFICATION'!D$8:E$79,2,"FAUX")</f>
        <v>Bénévolat</v>
      </c>
      <c r="N504" s="85">
        <f>+K504*100</f>
        <v>870000</v>
      </c>
      <c r="O504" s="206">
        <f>G504-H504</f>
        <v>10000</v>
      </c>
      <c r="P504" s="84">
        <f>YEAR(D504)</f>
        <v>2023</v>
      </c>
      <c r="Q504" s="11" t="str">
        <f>VLOOKUP($N504,'2 CODIFICATION'!$G$5:$L$71,3,FALSE)</f>
        <v>Bénévolat</v>
      </c>
      <c r="R504" s="53" t="str">
        <f>VLOOKUP($N504,'2 CODIFICATION'!$G$5:$L$71,4,FALSE)</f>
        <v>pdts</v>
      </c>
      <c r="S504" s="53">
        <f>VLOOKUP($N504,'2 CODIFICATION'!$G$5:$L$71,5,FALSE)</f>
        <v>87</v>
      </c>
      <c r="T504" s="11" t="str">
        <f>VLOOKUP($N504,'2 CODIFICATION'!$G$5:$L$71,6,FALSE)</f>
        <v>Contributions volontaires</v>
      </c>
    </row>
    <row r="505" spans="1:20" hidden="1">
      <c r="A505" s="201" t="s">
        <v>170</v>
      </c>
      <c r="B505" s="508" t="s">
        <v>79</v>
      </c>
      <c r="C505" s="4">
        <v>3327424</v>
      </c>
      <c r="D505" s="509">
        <v>44931</v>
      </c>
      <c r="E505" s="510" t="s">
        <v>603</v>
      </c>
      <c r="G505" s="511"/>
      <c r="H505" s="511">
        <v>116.1</v>
      </c>
      <c r="I505" s="471">
        <f t="shared" si="48"/>
        <v>17012.97</v>
      </c>
      <c r="J505" s="466" t="s">
        <v>273</v>
      </c>
      <c r="K505" s="20">
        <f t="shared" ref="K505:K533" si="49">N505/100</f>
        <v>6160</v>
      </c>
      <c r="L505" s="74" t="str">
        <f>VLOOKUP($J505,'2 CODIFICATION'!A$5:B$21,2,"FAUX")</f>
        <v>ADMINIST ET FONCT</v>
      </c>
      <c r="M505" s="74" t="str">
        <f>VLOOKUP($K505,'2 CODIFICATION'!D$8:E$64,2,"FAUX")</f>
        <v>Assurance RC</v>
      </c>
      <c r="N505" s="74">
        <v>616000</v>
      </c>
      <c r="O505" s="206">
        <f t="shared" ref="O505:O533" si="50">G505-H505</f>
        <v>-116.1</v>
      </c>
      <c r="P505" s="74">
        <f t="shared" ref="P505:P533" si="51">YEAR(D505)</f>
        <v>2023</v>
      </c>
      <c r="Q505" s="270" t="str">
        <f>VLOOKUP($N505,'2 CODIFICATION'!$G$5:$L$71,3,FALSE)</f>
        <v>Primes d'assurance</v>
      </c>
      <c r="R505" s="271" t="str">
        <f>VLOOKUP($N505,'2 CODIFICATION'!$G$5:$L$71,4,FALSE)</f>
        <v>chges</v>
      </c>
      <c r="S505" s="271">
        <f>VLOOKUP($N505,'2 CODIFICATION'!$G$5:$L$71,5,FALSE)</f>
        <v>61</v>
      </c>
      <c r="T505" s="270" t="str">
        <f>VLOOKUP($N505,'2 CODIFICATION'!$G$5:$L$71,6,FALSE)</f>
        <v>Services extérieurs</v>
      </c>
    </row>
    <row r="506" spans="1:20" hidden="1">
      <c r="A506" s="201" t="s">
        <v>170</v>
      </c>
      <c r="B506" s="508" t="s">
        <v>79</v>
      </c>
      <c r="C506" s="4">
        <v>3625676</v>
      </c>
      <c r="D506" s="509">
        <v>44966</v>
      </c>
      <c r="E506" s="541" t="s">
        <v>617</v>
      </c>
      <c r="G506" s="542">
        <v>45</v>
      </c>
      <c r="H506" s="511"/>
      <c r="I506" s="471">
        <f t="shared" si="48"/>
        <v>17057.97</v>
      </c>
      <c r="J506" s="466" t="s">
        <v>273</v>
      </c>
      <c r="K506" s="20">
        <f t="shared" si="49"/>
        <v>7771</v>
      </c>
      <c r="L506" s="74" t="str">
        <f>VLOOKUP($J506,'2 CODIFICATION'!A$5:B$21,2,"FAUX")</f>
        <v>ADMINIST ET FONCT</v>
      </c>
      <c r="M506" s="74" t="str">
        <f>VLOOKUP($K506,'2 CODIFICATION'!D$8:E$64,2,"FAUX")</f>
        <v>Dons et participations à l"association</v>
      </c>
      <c r="N506" s="74">
        <v>777100</v>
      </c>
      <c r="O506" s="206">
        <f t="shared" si="50"/>
        <v>45</v>
      </c>
      <c r="P506" s="74">
        <f t="shared" si="51"/>
        <v>2023</v>
      </c>
      <c r="Q506" s="270" t="str">
        <f>VLOOKUP($N506,'2 CODIFICATION'!$G$5:$L$71,3,FALSE)</f>
        <v>Dons et autres mises à dispositions gratuites</v>
      </c>
      <c r="R506" s="271" t="str">
        <f>VLOOKUP($N506,'2 CODIFICATION'!$G$5:$L$71,4,FALSE)</f>
        <v>pdts</v>
      </c>
      <c r="S506" s="271">
        <f>VLOOKUP($N506,'2 CODIFICATION'!$G$5:$L$71,5,FALSE)</f>
        <v>77</v>
      </c>
      <c r="T506" s="270" t="str">
        <f>VLOOKUP($N506,'2 CODIFICATION'!$G$5:$L$71,6,FALSE)</f>
        <v>Produits exceptionnels</v>
      </c>
    </row>
    <row r="507" spans="1:20" hidden="1">
      <c r="A507" s="201" t="s">
        <v>170</v>
      </c>
      <c r="B507" s="508" t="s">
        <v>79</v>
      </c>
      <c r="C507" s="4">
        <v>3327425</v>
      </c>
      <c r="D507" s="509">
        <v>44979</v>
      </c>
      <c r="E507" s="541" t="s">
        <v>598</v>
      </c>
      <c r="G507" s="511"/>
      <c r="H507" s="542">
        <v>59.99</v>
      </c>
      <c r="I507" s="471">
        <f t="shared" si="48"/>
        <v>16997.98</v>
      </c>
      <c r="J507" s="466" t="s">
        <v>527</v>
      </c>
      <c r="K507" s="20">
        <f t="shared" si="49"/>
        <v>6230</v>
      </c>
      <c r="L507" s="74" t="str">
        <f>VLOOKUP($J507,'2 CODIFICATION'!A$5:B$21,2,"FAUX")</f>
        <v>TOILETTES ECOSAN</v>
      </c>
      <c r="M507" s="74" t="str">
        <f>VLOOKUP($K507,'2 CODIFICATION'!D$8:E$64,2,"FAUX")</f>
        <v>communication</v>
      </c>
      <c r="N507" s="74">
        <v>623000</v>
      </c>
      <c r="O507" s="206">
        <f t="shared" si="50"/>
        <v>-59.99</v>
      </c>
      <c r="P507" s="74">
        <f t="shared" si="51"/>
        <v>2023</v>
      </c>
      <c r="Q507" s="270" t="str">
        <f>VLOOKUP($N507,'2 CODIFICATION'!$G$5:$L$71,3,FALSE)</f>
        <v>Publicité, publications, Création de site web</v>
      </c>
      <c r="R507" s="271" t="str">
        <f>VLOOKUP($N507,'2 CODIFICATION'!$G$5:$L$71,4,FALSE)</f>
        <v>chges</v>
      </c>
      <c r="S507" s="271">
        <f>VLOOKUP($N507,'2 CODIFICATION'!$G$5:$L$71,5,FALSE)</f>
        <v>62</v>
      </c>
      <c r="T507" s="270" t="str">
        <f>VLOOKUP($N507,'2 CODIFICATION'!$G$5:$L$71,6,FALSE)</f>
        <v>Autres services extérieurs</v>
      </c>
    </row>
    <row r="508" spans="1:20" hidden="1">
      <c r="A508" s="201" t="s">
        <v>170</v>
      </c>
      <c r="B508" s="508" t="s">
        <v>79</v>
      </c>
      <c r="C508" s="4" t="s">
        <v>593</v>
      </c>
      <c r="D508" s="509">
        <v>44992</v>
      </c>
      <c r="E508" s="550" t="s">
        <v>616</v>
      </c>
      <c r="G508" s="511">
        <v>38152.800000000003</v>
      </c>
      <c r="H508" s="511"/>
      <c r="I508" s="471">
        <f t="shared" si="48"/>
        <v>55150.78</v>
      </c>
      <c r="J508" s="466" t="s">
        <v>527</v>
      </c>
      <c r="K508" s="20">
        <f t="shared" si="49"/>
        <v>7430</v>
      </c>
      <c r="L508" s="74" t="str">
        <f>VLOOKUP($J508,'2 CODIFICATION'!A$5:B$21,2,"FAUX")</f>
        <v>TOILETTES ECOSAN</v>
      </c>
      <c r="M508" s="74" t="str">
        <f>VLOOKUP($K508,'2 CODIFICATION'!D$8:E$64,2,"FAUX")</f>
        <v>Subvention Agence Adour Garonne</v>
      </c>
      <c r="N508" s="74">
        <v>743000</v>
      </c>
      <c r="O508" s="206">
        <f t="shared" si="50"/>
        <v>38152.800000000003</v>
      </c>
      <c r="P508" s="74">
        <f t="shared" si="51"/>
        <v>2023</v>
      </c>
      <c r="Q508" s="270" t="str">
        <f>VLOOKUP($N508,'2 CODIFICATION'!$G$5:$L$71,3,FALSE)</f>
        <v>subvention Agence Adour Garonne</v>
      </c>
      <c r="R508" s="271" t="str">
        <f>VLOOKUP($N508,'2 CODIFICATION'!$G$5:$L$71,4,FALSE)</f>
        <v>pdts</v>
      </c>
      <c r="S508" s="271">
        <f>VLOOKUP($N508,'2 CODIFICATION'!$G$5:$L$71,5,FALSE)</f>
        <v>74</v>
      </c>
      <c r="T508" s="270" t="str">
        <f>VLOOKUP($N508,'2 CODIFICATION'!$G$5:$L$71,6,FALSE)</f>
        <v>Subventions d'exploitation</v>
      </c>
    </row>
    <row r="509" spans="1:20" ht="21.5" hidden="1">
      <c r="A509" s="201" t="s">
        <v>170</v>
      </c>
      <c r="B509" s="508" t="s">
        <v>79</v>
      </c>
      <c r="C509" s="4" t="s">
        <v>591</v>
      </c>
      <c r="D509" s="509">
        <v>45005</v>
      </c>
      <c r="E509" s="510" t="s">
        <v>592</v>
      </c>
      <c r="G509" s="511">
        <v>6667</v>
      </c>
      <c r="H509" s="511"/>
      <c r="I509" s="471">
        <f t="shared" si="48"/>
        <v>61817.78</v>
      </c>
      <c r="J509" s="466" t="s">
        <v>527</v>
      </c>
      <c r="K509" s="20">
        <f t="shared" si="49"/>
        <v>7420</v>
      </c>
      <c r="L509" s="74" t="str">
        <f>VLOOKUP($J509,'2 CODIFICATION'!A$5:B$21,2,"FAUX")</f>
        <v>TOILETTES ECOSAN</v>
      </c>
      <c r="M509" s="74" t="str">
        <f>VLOOKUP($K509,'2 CODIFICATION'!D$8:E$64,2,"FAUX")</f>
        <v>Subvention Agence Micro Projet</v>
      </c>
      <c r="N509" s="74">
        <v>742000</v>
      </c>
      <c r="O509" s="206">
        <f t="shared" si="50"/>
        <v>6667</v>
      </c>
      <c r="P509" s="74">
        <f t="shared" si="51"/>
        <v>2023</v>
      </c>
      <c r="Q509" s="270" t="str">
        <f>VLOOKUP($N509,'2 CODIFICATION'!$G$5:$L$71,3,FALSE)</f>
        <v>AMP-GRATITUDE</v>
      </c>
      <c r="R509" s="271" t="str">
        <f>VLOOKUP($N509,'2 CODIFICATION'!$G$5:$L$71,4,FALSE)</f>
        <v>pdts</v>
      </c>
      <c r="S509" s="271">
        <f>VLOOKUP($N509,'2 CODIFICATION'!$G$5:$L$71,5,FALSE)</f>
        <v>74</v>
      </c>
      <c r="T509" s="270" t="str">
        <f>VLOOKUP($N509,'2 CODIFICATION'!$G$5:$L$71,6,FALSE)</f>
        <v>Subventions d'exploitation</v>
      </c>
    </row>
    <row r="510" spans="1:20" hidden="1">
      <c r="A510" s="201" t="s">
        <v>170</v>
      </c>
      <c r="B510" s="508" t="s">
        <v>79</v>
      </c>
      <c r="C510" s="4" t="s">
        <v>590</v>
      </c>
      <c r="D510" s="509">
        <v>45007</v>
      </c>
      <c r="E510" s="510" t="s">
        <v>601</v>
      </c>
      <c r="G510" s="511"/>
      <c r="H510" s="542">
        <v>58000</v>
      </c>
      <c r="I510" s="471">
        <f t="shared" si="48"/>
        <v>3817.7799999999988</v>
      </c>
      <c r="J510" s="466" t="s">
        <v>527</v>
      </c>
      <c r="K510" s="20">
        <f t="shared" si="49"/>
        <v>6110</v>
      </c>
      <c r="L510" s="74" t="str">
        <f>VLOOKUP($J510,'2 CODIFICATION'!A$5:B$21,2,"FAUX")</f>
        <v>TOILETTES ECOSAN</v>
      </c>
      <c r="M510" s="74" t="str">
        <f>VLOOKUP($K510,'2 CODIFICATION'!D$8:E$64,2,"FAUX")</f>
        <v>Sous traitance projet</v>
      </c>
      <c r="N510" s="74">
        <v>611000</v>
      </c>
      <c r="O510" s="206">
        <f t="shared" si="50"/>
        <v>-58000</v>
      </c>
      <c r="P510" s="74">
        <f t="shared" si="51"/>
        <v>2023</v>
      </c>
      <c r="Q510" s="270" t="str">
        <f>VLOOKUP($N510,'2 CODIFICATION'!$G$5:$L$71,3,FALSE)</f>
        <v xml:space="preserve">Sous-traitance générale </v>
      </c>
      <c r="R510" s="271" t="str">
        <f>VLOOKUP($N510,'2 CODIFICATION'!$G$5:$L$71,4,FALSE)</f>
        <v>chges</v>
      </c>
      <c r="S510" s="271">
        <f>VLOOKUP($N510,'2 CODIFICATION'!$G$5:$L$71,5,FALSE)</f>
        <v>61</v>
      </c>
      <c r="T510" s="270" t="str">
        <f>VLOOKUP($N510,'2 CODIFICATION'!$G$5:$L$71,6,FALSE)</f>
        <v>Services extérieurs</v>
      </c>
    </row>
    <row r="511" spans="1:20" hidden="1">
      <c r="A511" s="201" t="s">
        <v>170</v>
      </c>
      <c r="B511" s="508" t="s">
        <v>79</v>
      </c>
      <c r="C511" s="4" t="s">
        <v>588</v>
      </c>
      <c r="D511" s="509">
        <v>45007</v>
      </c>
      <c r="E511" s="510" t="s">
        <v>589</v>
      </c>
      <c r="G511" s="511"/>
      <c r="H511" s="511">
        <v>58</v>
      </c>
      <c r="I511" s="471">
        <f t="shared" si="48"/>
        <v>3759.7799999999988</v>
      </c>
      <c r="J511" s="466" t="s">
        <v>527</v>
      </c>
      <c r="K511" s="20">
        <f t="shared" si="49"/>
        <v>6261</v>
      </c>
      <c r="L511" s="74" t="str">
        <f>VLOOKUP($J511,'2 CODIFICATION'!A$5:B$21,2,"FAUX")</f>
        <v>TOILETTES ECOSAN</v>
      </c>
      <c r="M511" s="74" t="str">
        <f>VLOOKUP($K511,'2 CODIFICATION'!D$8:E$64,2,"FAUX")</f>
        <v>Frais d'envoi</v>
      </c>
      <c r="N511" s="74">
        <v>626100</v>
      </c>
      <c r="O511" s="206">
        <f t="shared" si="50"/>
        <v>-58</v>
      </c>
      <c r="P511" s="74">
        <f t="shared" si="51"/>
        <v>2023</v>
      </c>
      <c r="Q511" s="270" t="str">
        <f>VLOOKUP($N511,'2 CODIFICATION'!$G$5:$L$71,3,FALSE)</f>
        <v>Frais postaux</v>
      </c>
      <c r="R511" s="271" t="str">
        <f>VLOOKUP($N511,'2 CODIFICATION'!$G$5:$L$71,4,FALSE)</f>
        <v>chges</v>
      </c>
      <c r="S511" s="271">
        <f>VLOOKUP($N511,'2 CODIFICATION'!$G$5:$L$71,5,FALSE)</f>
        <v>62</v>
      </c>
      <c r="T511" s="270" t="str">
        <f>VLOOKUP($N511,'2 CODIFICATION'!$G$5:$L$71,6,FALSE)</f>
        <v>Autres services extérieurs</v>
      </c>
    </row>
    <row r="512" spans="1:20" hidden="1">
      <c r="A512" s="201" t="s">
        <v>170</v>
      </c>
      <c r="B512" s="508" t="s">
        <v>79</v>
      </c>
      <c r="C512" s="4">
        <v>3327427</v>
      </c>
      <c r="D512" s="509">
        <v>45008</v>
      </c>
      <c r="E512" s="510" t="s">
        <v>600</v>
      </c>
      <c r="G512" s="511"/>
      <c r="H512" s="542">
        <v>255.96</v>
      </c>
      <c r="I512" s="471">
        <f t="shared" si="48"/>
        <v>3503.8199999999988</v>
      </c>
      <c r="J512" s="466" t="s">
        <v>527</v>
      </c>
      <c r="K512" s="20">
        <f t="shared" si="49"/>
        <v>6230</v>
      </c>
      <c r="L512" s="74" t="str">
        <f>VLOOKUP($J512,'2 CODIFICATION'!A$5:B$21,2,"FAUX")</f>
        <v>TOILETTES ECOSAN</v>
      </c>
      <c r="M512" s="74" t="str">
        <f>VLOOKUP($K512,'2 CODIFICATION'!D$8:E$64,2,"FAUX")</f>
        <v>communication</v>
      </c>
      <c r="N512" s="74">
        <v>623000</v>
      </c>
      <c r="O512" s="206">
        <f t="shared" si="50"/>
        <v>-255.96</v>
      </c>
      <c r="P512" s="74">
        <f t="shared" si="51"/>
        <v>2023</v>
      </c>
      <c r="Q512" s="270" t="str">
        <f>VLOOKUP($N512,'2 CODIFICATION'!$G$5:$L$71,3,FALSE)</f>
        <v>Publicité, publications, Création de site web</v>
      </c>
      <c r="R512" s="271" t="str">
        <f>VLOOKUP($N512,'2 CODIFICATION'!$G$5:$L$71,4,FALSE)</f>
        <v>chges</v>
      </c>
      <c r="S512" s="271">
        <f>VLOOKUP($N512,'2 CODIFICATION'!$G$5:$L$71,5,FALSE)</f>
        <v>62</v>
      </c>
      <c r="T512" s="270" t="str">
        <f>VLOOKUP($N512,'2 CODIFICATION'!$G$5:$L$71,6,FALSE)</f>
        <v>Autres services extérieurs</v>
      </c>
    </row>
    <row r="513" spans="1:20" hidden="1">
      <c r="A513" s="201" t="s">
        <v>170</v>
      </c>
      <c r="B513" s="508" t="s">
        <v>79</v>
      </c>
      <c r="C513" s="4">
        <v>1108767</v>
      </c>
      <c r="D513" s="509">
        <v>45019</v>
      </c>
      <c r="E513" s="549" t="s">
        <v>618</v>
      </c>
      <c r="G513" s="542">
        <v>150</v>
      </c>
      <c r="H513" s="511"/>
      <c r="I513" s="471">
        <f t="shared" si="48"/>
        <v>3653.8199999999988</v>
      </c>
      <c r="J513" s="466" t="s">
        <v>273</v>
      </c>
      <c r="K513" s="20">
        <f t="shared" si="49"/>
        <v>7581</v>
      </c>
      <c r="L513" s="74" t="str">
        <f>VLOOKUP($J513,'2 CODIFICATION'!A$5:B$21,2,"FAUX")</f>
        <v>ADMINIST ET FONCT</v>
      </c>
      <c r="M513" s="74" t="str">
        <f>VLOOKUP($K513,'2 CODIFICATION'!D$8:E$64,2,"FAUX")</f>
        <v>Adhésions association</v>
      </c>
      <c r="N513" s="74">
        <v>758100</v>
      </c>
      <c r="O513" s="206">
        <f t="shared" si="50"/>
        <v>150</v>
      </c>
      <c r="P513" s="74">
        <f t="shared" si="51"/>
        <v>2023</v>
      </c>
      <c r="Q513" s="270" t="str">
        <f>VLOOKUP($N513,'2 CODIFICATION'!$G$5:$L$71,3,FALSE)</f>
        <v>Cotisations individuelles et associatives</v>
      </c>
      <c r="R513" s="271" t="str">
        <f>VLOOKUP($N513,'2 CODIFICATION'!$G$5:$L$71,4,FALSE)</f>
        <v>pdts</v>
      </c>
      <c r="S513" s="271">
        <f>VLOOKUP($N513,'2 CODIFICATION'!$G$5:$L$71,5,FALSE)</f>
        <v>75</v>
      </c>
      <c r="T513" s="270" t="str">
        <f>VLOOKUP($N513,'2 CODIFICATION'!$G$5:$L$71,6,FALSE)</f>
        <v>Autres produits de gestion courante</v>
      </c>
    </row>
    <row r="514" spans="1:20" hidden="1">
      <c r="A514" s="201" t="s">
        <v>170</v>
      </c>
      <c r="B514" s="508" t="s">
        <v>79</v>
      </c>
      <c r="C514" s="4">
        <v>1108767</v>
      </c>
      <c r="D514" s="509">
        <v>45019</v>
      </c>
      <c r="E514" s="549" t="s">
        <v>619</v>
      </c>
      <c r="G514" s="542">
        <v>50</v>
      </c>
      <c r="H514" s="511"/>
      <c r="I514" s="471">
        <f t="shared" si="48"/>
        <v>3703.8199999999988</v>
      </c>
      <c r="J514" s="466" t="s">
        <v>273</v>
      </c>
      <c r="K514" s="20">
        <f t="shared" si="49"/>
        <v>7581</v>
      </c>
      <c r="L514" s="74" t="str">
        <f>VLOOKUP($J514,'2 CODIFICATION'!A$5:B$21,2,"FAUX")</f>
        <v>ADMINIST ET FONCT</v>
      </c>
      <c r="M514" s="74" t="str">
        <f>VLOOKUP($K514,'2 CODIFICATION'!D$8:E$64,2,"FAUX")</f>
        <v>Adhésions association</v>
      </c>
      <c r="N514" s="74">
        <v>758100</v>
      </c>
      <c r="O514" s="206">
        <f t="shared" si="50"/>
        <v>50</v>
      </c>
      <c r="P514" s="74">
        <f t="shared" si="51"/>
        <v>2023</v>
      </c>
      <c r="Q514" s="270" t="str">
        <f>VLOOKUP($N514,'2 CODIFICATION'!$G$5:$L$71,3,FALSE)</f>
        <v>Cotisations individuelles et associatives</v>
      </c>
      <c r="R514" s="271" t="str">
        <f>VLOOKUP($N514,'2 CODIFICATION'!$G$5:$L$71,4,FALSE)</f>
        <v>pdts</v>
      </c>
      <c r="S514" s="271">
        <f>VLOOKUP($N514,'2 CODIFICATION'!$G$5:$L$71,5,FALSE)</f>
        <v>75</v>
      </c>
      <c r="T514" s="270" t="str">
        <f>VLOOKUP($N514,'2 CODIFICATION'!$G$5:$L$71,6,FALSE)</f>
        <v>Autres produits de gestion courante</v>
      </c>
    </row>
    <row r="515" spans="1:20" hidden="1">
      <c r="A515" s="201" t="s">
        <v>170</v>
      </c>
      <c r="B515" s="508" t="s">
        <v>79</v>
      </c>
      <c r="C515" s="4">
        <v>3625680</v>
      </c>
      <c r="D515" s="509">
        <v>45029</v>
      </c>
      <c r="E515" s="541" t="s">
        <v>609</v>
      </c>
      <c r="G515" s="542">
        <v>50</v>
      </c>
      <c r="H515" s="511"/>
      <c r="I515" s="471">
        <f t="shared" si="48"/>
        <v>3753.8199999999988</v>
      </c>
      <c r="J515" s="466" t="s">
        <v>273</v>
      </c>
      <c r="K515" s="20">
        <f t="shared" si="49"/>
        <v>7771</v>
      </c>
      <c r="L515" s="74" t="str">
        <f>VLOOKUP($J515,'2 CODIFICATION'!A$5:B$21,2,"FAUX")</f>
        <v>ADMINIST ET FONCT</v>
      </c>
      <c r="M515" s="74" t="str">
        <f>VLOOKUP($K515,'2 CODIFICATION'!D$8:E$64,2,"FAUX")</f>
        <v>Dons et participations à l"association</v>
      </c>
      <c r="N515" s="74">
        <v>777100</v>
      </c>
      <c r="O515" s="206">
        <f t="shared" si="50"/>
        <v>50</v>
      </c>
      <c r="P515" s="74">
        <f t="shared" si="51"/>
        <v>2023</v>
      </c>
      <c r="Q515" s="270" t="str">
        <f>VLOOKUP($N515,'2 CODIFICATION'!$G$5:$L$71,3,FALSE)</f>
        <v>Dons et autres mises à dispositions gratuites</v>
      </c>
      <c r="R515" s="271" t="str">
        <f>VLOOKUP($N515,'2 CODIFICATION'!$G$5:$L$71,4,FALSE)</f>
        <v>pdts</v>
      </c>
      <c r="S515" s="271">
        <f>VLOOKUP($N515,'2 CODIFICATION'!$G$5:$L$71,5,FALSE)</f>
        <v>77</v>
      </c>
      <c r="T515" s="270" t="str">
        <f>VLOOKUP($N515,'2 CODIFICATION'!$G$5:$L$71,6,FALSE)</f>
        <v>Produits exceptionnels</v>
      </c>
    </row>
    <row r="516" spans="1:20" hidden="1">
      <c r="A516" s="201" t="s">
        <v>170</v>
      </c>
      <c r="B516" s="508" t="s">
        <v>79</v>
      </c>
      <c r="C516" s="4">
        <v>1181622</v>
      </c>
      <c r="D516" s="509">
        <v>45035</v>
      </c>
      <c r="E516" s="541" t="s">
        <v>610</v>
      </c>
      <c r="G516" s="542">
        <v>300</v>
      </c>
      <c r="H516" s="511"/>
      <c r="I516" s="471">
        <f t="shared" si="48"/>
        <v>4053.8199999999988</v>
      </c>
      <c r="J516" s="466" t="s">
        <v>273</v>
      </c>
      <c r="K516" s="20">
        <f t="shared" si="49"/>
        <v>7581</v>
      </c>
      <c r="L516" s="74" t="str">
        <f>VLOOKUP($J516,'2 CODIFICATION'!A$5:B$21,2,"FAUX")</f>
        <v>ADMINIST ET FONCT</v>
      </c>
      <c r="M516" s="74" t="str">
        <f>VLOOKUP($K516,'2 CODIFICATION'!D$8:E$64,2,"FAUX")</f>
        <v>Adhésions association</v>
      </c>
      <c r="N516" s="74">
        <v>758100</v>
      </c>
      <c r="O516" s="206">
        <f t="shared" si="50"/>
        <v>300</v>
      </c>
      <c r="P516" s="74">
        <f t="shared" si="51"/>
        <v>2023</v>
      </c>
      <c r="Q516" s="270" t="str">
        <f>VLOOKUP($N516,'2 CODIFICATION'!$G$5:$L$71,3,FALSE)</f>
        <v>Cotisations individuelles et associatives</v>
      </c>
      <c r="R516" s="271" t="str">
        <f>VLOOKUP($N516,'2 CODIFICATION'!$G$5:$L$71,4,FALSE)</f>
        <v>pdts</v>
      </c>
      <c r="S516" s="271">
        <f>VLOOKUP($N516,'2 CODIFICATION'!$G$5:$L$71,5,FALSE)</f>
        <v>75</v>
      </c>
      <c r="T516" s="270" t="str">
        <f>VLOOKUP($N516,'2 CODIFICATION'!$G$5:$L$71,6,FALSE)</f>
        <v>Autres produits de gestion courante</v>
      </c>
    </row>
    <row r="517" spans="1:20" hidden="1">
      <c r="A517" s="201" t="s">
        <v>170</v>
      </c>
      <c r="B517" s="508" t="s">
        <v>79</v>
      </c>
      <c r="C517" s="4">
        <v>3327428</v>
      </c>
      <c r="D517" s="509">
        <v>45055</v>
      </c>
      <c r="E517" s="510" t="s">
        <v>604</v>
      </c>
      <c r="G517" s="511"/>
      <c r="H517" s="542">
        <v>63.99</v>
      </c>
      <c r="I517" s="471">
        <f t="shared" si="48"/>
        <v>3989.829999999999</v>
      </c>
      <c r="J517" s="466" t="s">
        <v>527</v>
      </c>
      <c r="K517" s="20">
        <f t="shared" si="49"/>
        <v>6230</v>
      </c>
      <c r="L517" s="74" t="str">
        <f>VLOOKUP($J517,'2 CODIFICATION'!A$5:B$21,2,"FAUX")</f>
        <v>TOILETTES ECOSAN</v>
      </c>
      <c r="M517" s="74" t="str">
        <f>VLOOKUP($K517,'2 CODIFICATION'!D$8:E$64,2,"FAUX")</f>
        <v>communication</v>
      </c>
      <c r="N517" s="74">
        <v>623000</v>
      </c>
      <c r="O517" s="206">
        <f t="shared" si="50"/>
        <v>-63.99</v>
      </c>
      <c r="P517" s="74">
        <f t="shared" si="51"/>
        <v>2023</v>
      </c>
      <c r="Q517" s="270" t="str">
        <f>VLOOKUP($N517,'2 CODIFICATION'!$G$5:$L$71,3,FALSE)</f>
        <v>Publicité, publications, Création de site web</v>
      </c>
      <c r="R517" s="271" t="str">
        <f>VLOOKUP($N517,'2 CODIFICATION'!$G$5:$L$71,4,FALSE)</f>
        <v>chges</v>
      </c>
      <c r="S517" s="271">
        <f>VLOOKUP($N517,'2 CODIFICATION'!$G$5:$L$71,5,FALSE)</f>
        <v>62</v>
      </c>
      <c r="T517" s="270" t="str">
        <f>VLOOKUP($N517,'2 CODIFICATION'!$G$5:$L$71,6,FALSE)</f>
        <v>Autres services extérieurs</v>
      </c>
    </row>
    <row r="518" spans="1:20" hidden="1">
      <c r="A518" s="201" t="s">
        <v>170</v>
      </c>
      <c r="B518" s="508" t="s">
        <v>79</v>
      </c>
      <c r="C518" s="4">
        <v>3327426</v>
      </c>
      <c r="D518" s="509">
        <v>45062</v>
      </c>
      <c r="E518" s="510" t="s">
        <v>602</v>
      </c>
      <c r="G518" s="511"/>
      <c r="H518" s="511">
        <v>50</v>
      </c>
      <c r="I518" s="471">
        <f t="shared" si="48"/>
        <v>3939.829999999999</v>
      </c>
      <c r="J518" s="466" t="s">
        <v>273</v>
      </c>
      <c r="K518" s="20">
        <f t="shared" si="49"/>
        <v>6281</v>
      </c>
      <c r="L518" s="74" t="str">
        <f>VLOOKUP($J518,'2 CODIFICATION'!A$5:B$21,2,"FAUX")</f>
        <v>ADMINIST ET FONCT</v>
      </c>
      <c r="M518" s="74" t="str">
        <f>VLOOKUP($K518,'2 CODIFICATION'!D$8:E$64,2,"FAUX")</f>
        <v>adhésion Hellasso+ autres</v>
      </c>
      <c r="N518" s="74">
        <v>628100</v>
      </c>
      <c r="O518" s="206">
        <f t="shared" si="50"/>
        <v>-50</v>
      </c>
      <c r="P518" s="74">
        <f t="shared" si="51"/>
        <v>2023</v>
      </c>
      <c r="Q518" s="270" t="str">
        <f>VLOOKUP($N518,'2 CODIFICATION'!$G$5:$L$71,3,FALSE)</f>
        <v>adhesion Hellasso</v>
      </c>
      <c r="R518" s="271" t="str">
        <f>VLOOKUP($N518,'2 CODIFICATION'!$G$5:$L$71,4,FALSE)</f>
        <v>chges</v>
      </c>
      <c r="S518" s="271">
        <f>VLOOKUP($N518,'2 CODIFICATION'!$G$5:$L$71,5,FALSE)</f>
        <v>62</v>
      </c>
      <c r="T518" s="270" t="str">
        <f>VLOOKUP($N518,'2 CODIFICATION'!$G$5:$L$71,6,FALSE)</f>
        <v>Autres services extérieurs</v>
      </c>
    </row>
    <row r="519" spans="1:20" ht="21.5" hidden="1">
      <c r="A519" s="201" t="s">
        <v>170</v>
      </c>
      <c r="B519" s="508" t="s">
        <v>79</v>
      </c>
      <c r="D519" s="509">
        <v>45062</v>
      </c>
      <c r="E519" s="510" t="s">
        <v>587</v>
      </c>
      <c r="G519" s="511">
        <v>0.34</v>
      </c>
      <c r="H519" s="511"/>
      <c r="I519" s="471">
        <f t="shared" si="48"/>
        <v>3940.1699999999992</v>
      </c>
      <c r="J519" s="466" t="s">
        <v>273</v>
      </c>
      <c r="K519" s="20">
        <f t="shared" si="49"/>
        <v>7660</v>
      </c>
      <c r="L519" s="74" t="str">
        <f>VLOOKUP($J519,'2 CODIFICATION'!A$5:B$21,2,"FAUX")</f>
        <v>ADMINIST ET FONCT</v>
      </c>
      <c r="M519" s="74" t="str">
        <f>VLOOKUP($K519,'2 CODIFICATION'!D$8:E$64,2,"FAUX")</f>
        <v>Produits financiers</v>
      </c>
      <c r="N519" s="74">
        <v>766000</v>
      </c>
      <c r="O519" s="206">
        <f t="shared" si="50"/>
        <v>0.34</v>
      </c>
      <c r="P519" s="74">
        <f t="shared" si="51"/>
        <v>2023</v>
      </c>
      <c r="Q519" s="270" t="str">
        <f>VLOOKUP($N519,'2 CODIFICATION'!$G$5:$L$71,3,FALSE)</f>
        <v>Produits financiers</v>
      </c>
      <c r="R519" s="271" t="str">
        <f>VLOOKUP($N519,'2 CODIFICATION'!$G$5:$L$71,4,FALSE)</f>
        <v>pdts</v>
      </c>
      <c r="S519" s="271">
        <f>VLOOKUP($N519,'2 CODIFICATION'!$G$5:$L$71,5,FALSE)</f>
        <v>76</v>
      </c>
      <c r="T519" s="270" t="str">
        <f>VLOOKUP($N519,'2 CODIFICATION'!$G$5:$L$71,6,FALSE)</f>
        <v>Produits exceptionnels</v>
      </c>
    </row>
    <row r="520" spans="1:20" hidden="1">
      <c r="A520" s="201" t="s">
        <v>170</v>
      </c>
      <c r="B520" s="508" t="s">
        <v>79</v>
      </c>
      <c r="C520" s="4">
        <v>3327430</v>
      </c>
      <c r="D520" s="509">
        <v>45077</v>
      </c>
      <c r="E520" s="510" t="s">
        <v>606</v>
      </c>
      <c r="G520" s="511"/>
      <c r="H520" s="542">
        <v>65.989999999999995</v>
      </c>
      <c r="I520" s="471">
        <f t="shared" si="48"/>
        <v>3874.1799999999994</v>
      </c>
      <c r="J520" s="466" t="s">
        <v>527</v>
      </c>
      <c r="K520" s="20">
        <f t="shared" si="49"/>
        <v>6230</v>
      </c>
      <c r="L520" s="74" t="str">
        <f>VLOOKUP($J520,'2 CODIFICATION'!A$5:B$21,2,"FAUX")</f>
        <v>TOILETTES ECOSAN</v>
      </c>
      <c r="M520" s="74" t="str">
        <f>VLOOKUP($K520,'2 CODIFICATION'!D$8:E$64,2,"FAUX")</f>
        <v>communication</v>
      </c>
      <c r="N520" s="74">
        <v>623000</v>
      </c>
      <c r="O520" s="206">
        <f t="shared" si="50"/>
        <v>-65.989999999999995</v>
      </c>
      <c r="P520" s="74">
        <f t="shared" si="51"/>
        <v>2023</v>
      </c>
      <c r="Q520" s="270" t="str">
        <f>VLOOKUP($N520,'2 CODIFICATION'!$G$5:$L$71,3,FALSE)</f>
        <v>Publicité, publications, Création de site web</v>
      </c>
      <c r="R520" s="271" t="str">
        <f>VLOOKUP($N520,'2 CODIFICATION'!$G$5:$L$71,4,FALSE)</f>
        <v>chges</v>
      </c>
      <c r="S520" s="271">
        <f>VLOOKUP($N520,'2 CODIFICATION'!$G$5:$L$71,5,FALSE)</f>
        <v>62</v>
      </c>
      <c r="T520" s="270" t="str">
        <f>VLOOKUP($N520,'2 CODIFICATION'!$G$5:$L$71,6,FALSE)</f>
        <v>Autres services extérieurs</v>
      </c>
    </row>
    <row r="521" spans="1:20" hidden="1">
      <c r="A521" s="201" t="s">
        <v>170</v>
      </c>
      <c r="B521" s="508" t="s">
        <v>79</v>
      </c>
      <c r="C521" s="4">
        <v>3327429</v>
      </c>
      <c r="D521" s="509">
        <v>45082</v>
      </c>
      <c r="E521" s="510" t="s">
        <v>605</v>
      </c>
      <c r="G521" s="511"/>
      <c r="H521" s="511">
        <v>73.09</v>
      </c>
      <c r="I521" s="471">
        <f t="shared" si="48"/>
        <v>3801.0899999999992</v>
      </c>
      <c r="J521" s="466" t="s">
        <v>273</v>
      </c>
      <c r="K521" s="20">
        <f t="shared" si="49"/>
        <v>6064</v>
      </c>
      <c r="L521" s="74" t="str">
        <f>VLOOKUP($J521,'2 CODIFICATION'!A$5:B$21,2,"FAUX")</f>
        <v>ADMINIST ET FONCT</v>
      </c>
      <c r="M521" s="74" t="str">
        <f>VLOOKUP($K521,'2 CODIFICATION'!D$8:E$64,2,"FAUX")</f>
        <v>Frais de fonctionnement et fourniture</v>
      </c>
      <c r="N521" s="74">
        <v>606400</v>
      </c>
      <c r="O521" s="206">
        <f t="shared" si="50"/>
        <v>-73.09</v>
      </c>
      <c r="P521" s="74">
        <f t="shared" si="51"/>
        <v>2023</v>
      </c>
      <c r="Q521" s="270" t="str">
        <f>VLOOKUP($N521,'2 CODIFICATION'!$G$5:$L$71,3,FALSE)</f>
        <v>Fournitures administratives</v>
      </c>
      <c r="R521" s="271" t="str">
        <f>VLOOKUP($N521,'2 CODIFICATION'!$G$5:$L$71,4,FALSE)</f>
        <v>chges</v>
      </c>
      <c r="S521" s="271">
        <f>VLOOKUP($N521,'2 CODIFICATION'!$G$5:$L$71,5,FALSE)</f>
        <v>60</v>
      </c>
      <c r="T521" s="270" t="str">
        <f>VLOOKUP($N521,'2 CODIFICATION'!$G$5:$L$71,6,FALSE)</f>
        <v>Achat</v>
      </c>
    </row>
    <row r="522" spans="1:20" hidden="1">
      <c r="A522" s="201" t="s">
        <v>170</v>
      </c>
      <c r="B522" s="508" t="s">
        <v>79</v>
      </c>
      <c r="C522" s="4">
        <v>2867712</v>
      </c>
      <c r="D522" s="509">
        <v>45090</v>
      </c>
      <c r="E522" s="510" t="s">
        <v>615</v>
      </c>
      <c r="G522" s="542">
        <v>100</v>
      </c>
      <c r="H522" s="511"/>
      <c r="I522" s="471">
        <f t="shared" si="48"/>
        <v>3901.0899999999992</v>
      </c>
      <c r="J522" s="466" t="s">
        <v>273</v>
      </c>
      <c r="K522" s="20">
        <f t="shared" si="49"/>
        <v>7581</v>
      </c>
      <c r="L522" s="74" t="str">
        <f>VLOOKUP($J522,'2 CODIFICATION'!A$5:B$21,2,"FAUX")</f>
        <v>ADMINIST ET FONCT</v>
      </c>
      <c r="M522" s="74" t="str">
        <f>VLOOKUP($K522,'2 CODIFICATION'!D$8:E$64,2,"FAUX")</f>
        <v>Adhésions association</v>
      </c>
      <c r="N522" s="74">
        <v>758100</v>
      </c>
      <c r="O522" s="206">
        <f t="shared" si="50"/>
        <v>100</v>
      </c>
      <c r="P522" s="74">
        <f t="shared" si="51"/>
        <v>2023</v>
      </c>
      <c r="Q522" s="270" t="str">
        <f>VLOOKUP($N522,'2 CODIFICATION'!$G$5:$L$71,3,FALSE)</f>
        <v>Cotisations individuelles et associatives</v>
      </c>
      <c r="R522" s="271" t="str">
        <f>VLOOKUP($N522,'2 CODIFICATION'!$G$5:$L$71,4,FALSE)</f>
        <v>pdts</v>
      </c>
      <c r="S522" s="271">
        <f>VLOOKUP($N522,'2 CODIFICATION'!$G$5:$L$71,5,FALSE)</f>
        <v>75</v>
      </c>
      <c r="T522" s="270" t="str">
        <f>VLOOKUP($N522,'2 CODIFICATION'!$G$5:$L$71,6,FALSE)</f>
        <v>Autres produits de gestion courante</v>
      </c>
    </row>
    <row r="523" spans="1:20" hidden="1">
      <c r="A523" s="201" t="s">
        <v>170</v>
      </c>
      <c r="B523" s="508" t="s">
        <v>79</v>
      </c>
      <c r="C523" s="4">
        <v>1386565</v>
      </c>
      <c r="D523" s="509">
        <v>45093</v>
      </c>
      <c r="E523" s="549" t="s">
        <v>620</v>
      </c>
      <c r="G523" s="542">
        <v>30</v>
      </c>
      <c r="H523" s="511"/>
      <c r="I523" s="471">
        <f t="shared" si="48"/>
        <v>3931.0899999999992</v>
      </c>
      <c r="J523" s="466" t="s">
        <v>273</v>
      </c>
      <c r="K523" s="20">
        <f t="shared" si="49"/>
        <v>7581</v>
      </c>
      <c r="L523" s="74" t="str">
        <f>VLOOKUP($J523,'2 CODIFICATION'!A$5:B$21,2,"FAUX")</f>
        <v>ADMINIST ET FONCT</v>
      </c>
      <c r="M523" s="74" t="str">
        <f>VLOOKUP($K523,'2 CODIFICATION'!D$8:E$64,2,"FAUX")</f>
        <v>Adhésions association</v>
      </c>
      <c r="N523" s="74">
        <v>758100</v>
      </c>
      <c r="O523" s="206">
        <f t="shared" si="50"/>
        <v>30</v>
      </c>
      <c r="P523" s="74">
        <f t="shared" si="51"/>
        <v>2023</v>
      </c>
      <c r="Q523" s="270" t="str">
        <f>VLOOKUP($N523,'2 CODIFICATION'!$G$5:$L$71,3,FALSE)</f>
        <v>Cotisations individuelles et associatives</v>
      </c>
      <c r="R523" s="271" t="str">
        <f>VLOOKUP($N523,'2 CODIFICATION'!$G$5:$L$71,4,FALSE)</f>
        <v>pdts</v>
      </c>
      <c r="S523" s="271">
        <f>VLOOKUP($N523,'2 CODIFICATION'!$G$5:$L$71,5,FALSE)</f>
        <v>75</v>
      </c>
      <c r="T523" s="270" t="str">
        <f>VLOOKUP($N523,'2 CODIFICATION'!$G$5:$L$71,6,FALSE)</f>
        <v>Autres produits de gestion courante</v>
      </c>
    </row>
    <row r="524" spans="1:20" hidden="1">
      <c r="A524" s="201" t="s">
        <v>170</v>
      </c>
      <c r="B524" s="508" t="s">
        <v>79</v>
      </c>
      <c r="C524" s="4">
        <v>1386565</v>
      </c>
      <c r="D524" s="509">
        <v>45093</v>
      </c>
      <c r="E524" s="549" t="s">
        <v>621</v>
      </c>
      <c r="G524" s="542">
        <v>10</v>
      </c>
      <c r="H524" s="511"/>
      <c r="I524" s="471">
        <f t="shared" si="48"/>
        <v>3941.0899999999992</v>
      </c>
      <c r="J524" s="466" t="s">
        <v>273</v>
      </c>
      <c r="K524" s="20">
        <f t="shared" si="49"/>
        <v>7581</v>
      </c>
      <c r="L524" s="74" t="str">
        <f>VLOOKUP($J524,'2 CODIFICATION'!A$5:B$21,2,"FAUX")</f>
        <v>ADMINIST ET FONCT</v>
      </c>
      <c r="M524" s="74" t="str">
        <f>VLOOKUP($K524,'2 CODIFICATION'!D$8:E$64,2,"FAUX")</f>
        <v>Adhésions association</v>
      </c>
      <c r="N524" s="74">
        <v>758100</v>
      </c>
      <c r="O524" s="206">
        <f t="shared" si="50"/>
        <v>10</v>
      </c>
      <c r="P524" s="74">
        <f t="shared" si="51"/>
        <v>2023</v>
      </c>
      <c r="Q524" s="270" t="str">
        <f>VLOOKUP($N524,'2 CODIFICATION'!$G$5:$L$71,3,FALSE)</f>
        <v>Cotisations individuelles et associatives</v>
      </c>
      <c r="R524" s="271" t="str">
        <f>VLOOKUP($N524,'2 CODIFICATION'!$G$5:$L$71,4,FALSE)</f>
        <v>pdts</v>
      </c>
      <c r="S524" s="271">
        <f>VLOOKUP($N524,'2 CODIFICATION'!$G$5:$L$71,5,FALSE)</f>
        <v>75</v>
      </c>
      <c r="T524" s="270" t="str">
        <f>VLOOKUP($N524,'2 CODIFICATION'!$G$5:$L$71,6,FALSE)</f>
        <v>Autres produits de gestion courante</v>
      </c>
    </row>
    <row r="525" spans="1:20" hidden="1">
      <c r="A525" s="201" t="s">
        <v>170</v>
      </c>
      <c r="B525" s="508" t="s">
        <v>79</v>
      </c>
      <c r="C525" s="4">
        <v>1448773</v>
      </c>
      <c r="D525" s="509">
        <v>45110</v>
      </c>
      <c r="E525" s="510" t="s">
        <v>622</v>
      </c>
      <c r="G525" s="542">
        <v>20</v>
      </c>
      <c r="H525" s="511"/>
      <c r="I525" s="471">
        <f t="shared" si="48"/>
        <v>3961.0899999999992</v>
      </c>
      <c r="J525" s="466" t="s">
        <v>273</v>
      </c>
      <c r="K525" s="20">
        <f t="shared" si="49"/>
        <v>7581</v>
      </c>
      <c r="L525" s="74" t="str">
        <f>VLOOKUP($J525,'2 CODIFICATION'!A$5:B$21,2,"FAUX")</f>
        <v>ADMINIST ET FONCT</v>
      </c>
      <c r="M525" s="74" t="str">
        <f>VLOOKUP($K525,'2 CODIFICATION'!D$8:E$64,2,"FAUX")</f>
        <v>Adhésions association</v>
      </c>
      <c r="N525" s="74">
        <v>758100</v>
      </c>
      <c r="O525" s="206">
        <f t="shared" si="50"/>
        <v>20</v>
      </c>
      <c r="P525" s="74">
        <f t="shared" si="51"/>
        <v>2023</v>
      </c>
      <c r="Q525" s="270" t="str">
        <f>VLOOKUP($N525,'2 CODIFICATION'!$G$5:$L$71,3,FALSE)</f>
        <v>Cotisations individuelles et associatives</v>
      </c>
      <c r="R525" s="271" t="str">
        <f>VLOOKUP($N525,'2 CODIFICATION'!$G$5:$L$71,4,FALSE)</f>
        <v>pdts</v>
      </c>
      <c r="S525" s="271">
        <f>VLOOKUP($N525,'2 CODIFICATION'!$G$5:$L$71,5,FALSE)</f>
        <v>75</v>
      </c>
      <c r="T525" s="270" t="str">
        <f>VLOOKUP($N525,'2 CODIFICATION'!$G$5:$L$71,6,FALSE)</f>
        <v>Autres produits de gestion courante</v>
      </c>
    </row>
    <row r="526" spans="1:20" hidden="1">
      <c r="A526" s="201" t="s">
        <v>170</v>
      </c>
      <c r="B526" s="508" t="s">
        <v>79</v>
      </c>
      <c r="C526" s="4">
        <v>3327432</v>
      </c>
      <c r="D526" s="509">
        <v>45114</v>
      </c>
      <c r="E526" s="541" t="s">
        <v>607</v>
      </c>
      <c r="G526" s="511"/>
      <c r="H526" s="542">
        <v>13.92</v>
      </c>
      <c r="I526" s="471">
        <f t="shared" si="48"/>
        <v>3947.1699999999992</v>
      </c>
      <c r="J526" s="466" t="s">
        <v>527</v>
      </c>
      <c r="K526" s="20">
        <f t="shared" si="49"/>
        <v>6261</v>
      </c>
      <c r="L526" s="74" t="str">
        <f>VLOOKUP($J526,'2 CODIFICATION'!A$5:B$21,2,"FAUX")</f>
        <v>TOILETTES ECOSAN</v>
      </c>
      <c r="M526" s="74" t="str">
        <f>VLOOKUP($K526,'2 CODIFICATION'!D$8:E$64,2,"FAUX")</f>
        <v>Frais d'envoi</v>
      </c>
      <c r="N526" s="74">
        <v>626100</v>
      </c>
      <c r="O526" s="206">
        <f t="shared" si="50"/>
        <v>-13.92</v>
      </c>
      <c r="P526" s="74">
        <f t="shared" si="51"/>
        <v>2023</v>
      </c>
      <c r="Q526" s="270" t="str">
        <f>VLOOKUP($N526,'2 CODIFICATION'!$G$5:$L$71,3,FALSE)</f>
        <v>Frais postaux</v>
      </c>
      <c r="R526" s="271" t="str">
        <f>VLOOKUP($N526,'2 CODIFICATION'!$G$5:$L$71,4,FALSE)</f>
        <v>chges</v>
      </c>
      <c r="S526" s="271">
        <f>VLOOKUP($N526,'2 CODIFICATION'!$G$5:$L$71,5,FALSE)</f>
        <v>62</v>
      </c>
      <c r="T526" s="270" t="str">
        <f>VLOOKUP($N526,'2 CODIFICATION'!$G$5:$L$71,6,FALSE)</f>
        <v>Autres services extérieurs</v>
      </c>
    </row>
    <row r="527" spans="1:20" hidden="1">
      <c r="A527" s="201" t="s">
        <v>170</v>
      </c>
      <c r="B527" s="508" t="s">
        <v>79</v>
      </c>
      <c r="C527" s="4">
        <v>3327433</v>
      </c>
      <c r="D527" s="509">
        <v>45114</v>
      </c>
      <c r="E527" s="541" t="s">
        <v>608</v>
      </c>
      <c r="G527" s="511"/>
      <c r="H527" s="511">
        <v>70.41</v>
      </c>
      <c r="I527" s="471">
        <f t="shared" si="48"/>
        <v>3876.7599999999993</v>
      </c>
      <c r="J527" s="466" t="s">
        <v>527</v>
      </c>
      <c r="K527" s="20">
        <f t="shared" si="49"/>
        <v>6230</v>
      </c>
      <c r="L527" s="74" t="str">
        <f>VLOOKUP($J527,'2 CODIFICATION'!A$5:B$21,2,"FAUX")</f>
        <v>TOILETTES ECOSAN</v>
      </c>
      <c r="M527" s="74" t="str">
        <f>VLOOKUP($K527,'2 CODIFICATION'!D$8:E$64,2,"FAUX")</f>
        <v>communication</v>
      </c>
      <c r="N527" s="74">
        <v>623000</v>
      </c>
      <c r="O527" s="206">
        <f t="shared" si="50"/>
        <v>-70.41</v>
      </c>
      <c r="P527" s="74">
        <f t="shared" si="51"/>
        <v>2023</v>
      </c>
      <c r="Q527" s="270" t="str">
        <f>VLOOKUP($N527,'2 CODIFICATION'!$G$5:$L$71,3,FALSE)</f>
        <v>Publicité, publications, Création de site web</v>
      </c>
      <c r="R527" s="271" t="str">
        <f>VLOOKUP($N527,'2 CODIFICATION'!$G$5:$L$71,4,FALSE)</f>
        <v>chges</v>
      </c>
      <c r="S527" s="271">
        <f>VLOOKUP($N527,'2 CODIFICATION'!$G$5:$L$71,5,FALSE)</f>
        <v>62</v>
      </c>
      <c r="T527" s="270" t="str">
        <f>VLOOKUP($N527,'2 CODIFICATION'!$G$5:$L$71,6,FALSE)</f>
        <v>Autres services extérieurs</v>
      </c>
    </row>
    <row r="528" spans="1:20" hidden="1">
      <c r="A528" s="201" t="s">
        <v>170</v>
      </c>
      <c r="B528" s="508" t="s">
        <v>79</v>
      </c>
      <c r="C528" s="4">
        <v>3786220</v>
      </c>
      <c r="D528" s="509">
        <v>45114</v>
      </c>
      <c r="E528" s="549" t="s">
        <v>613</v>
      </c>
      <c r="G528" s="542">
        <v>100</v>
      </c>
      <c r="H528" s="511"/>
      <c r="I528" s="471">
        <f t="shared" si="48"/>
        <v>3976.7599999999993</v>
      </c>
      <c r="J528" s="466" t="s">
        <v>273</v>
      </c>
      <c r="K528" s="20">
        <f t="shared" si="49"/>
        <v>7581</v>
      </c>
      <c r="L528" s="74" t="str">
        <f>VLOOKUP($J528,'2 CODIFICATION'!A$5:B$21,2,"FAUX")</f>
        <v>ADMINIST ET FONCT</v>
      </c>
      <c r="M528" s="74" t="str">
        <f>VLOOKUP($K528,'2 CODIFICATION'!D$8:E$64,2,"FAUX")</f>
        <v>Adhésions association</v>
      </c>
      <c r="N528" s="74">
        <v>758100</v>
      </c>
      <c r="O528" s="206">
        <f t="shared" si="50"/>
        <v>100</v>
      </c>
      <c r="P528" s="74">
        <f t="shared" si="51"/>
        <v>2023</v>
      </c>
      <c r="Q528" s="270" t="str">
        <f>VLOOKUP($N528,'2 CODIFICATION'!$G$5:$L$71,3,FALSE)</f>
        <v>Cotisations individuelles et associatives</v>
      </c>
      <c r="R528" s="271" t="str">
        <f>VLOOKUP($N528,'2 CODIFICATION'!$G$5:$L$71,4,FALSE)</f>
        <v>pdts</v>
      </c>
      <c r="S528" s="271">
        <f>VLOOKUP($N528,'2 CODIFICATION'!$G$5:$L$71,5,FALSE)</f>
        <v>75</v>
      </c>
      <c r="T528" s="270" t="str">
        <f>VLOOKUP($N528,'2 CODIFICATION'!$G$5:$L$71,6,FALSE)</f>
        <v>Autres produits de gestion courante</v>
      </c>
    </row>
    <row r="529" spans="1:20" hidden="1">
      <c r="A529" s="201" t="s">
        <v>170</v>
      </c>
      <c r="B529" s="508" t="s">
        <v>79</v>
      </c>
      <c r="C529" s="4">
        <v>3786220</v>
      </c>
      <c r="D529" s="509">
        <v>45114</v>
      </c>
      <c r="E529" s="549" t="s">
        <v>614</v>
      </c>
      <c r="G529" s="542">
        <v>1200</v>
      </c>
      <c r="H529" s="511"/>
      <c r="I529" s="471">
        <f t="shared" si="48"/>
        <v>5176.7599999999993</v>
      </c>
      <c r="J529" s="466" t="s">
        <v>273</v>
      </c>
      <c r="K529" s="20">
        <f t="shared" si="49"/>
        <v>7771</v>
      </c>
      <c r="L529" s="74" t="str">
        <f>VLOOKUP($J529,'2 CODIFICATION'!A$5:B$21,2,"FAUX")</f>
        <v>ADMINIST ET FONCT</v>
      </c>
      <c r="M529" s="74" t="str">
        <f>VLOOKUP($K529,'2 CODIFICATION'!D$8:E$64,2,"FAUX")</f>
        <v>Dons et participations à l"association</v>
      </c>
      <c r="N529" s="74">
        <v>777100</v>
      </c>
      <c r="O529" s="206">
        <f t="shared" si="50"/>
        <v>1200</v>
      </c>
      <c r="P529" s="74">
        <f t="shared" si="51"/>
        <v>2023</v>
      </c>
      <c r="Q529" s="270" t="str">
        <f>VLOOKUP($N529,'2 CODIFICATION'!$G$5:$L$71,3,FALSE)</f>
        <v>Dons et autres mises à dispositions gratuites</v>
      </c>
      <c r="R529" s="271" t="str">
        <f>VLOOKUP($N529,'2 CODIFICATION'!$G$5:$L$71,4,FALSE)</f>
        <v>pdts</v>
      </c>
      <c r="S529" s="271">
        <f>VLOOKUP($N529,'2 CODIFICATION'!$G$5:$L$71,5,FALSE)</f>
        <v>77</v>
      </c>
      <c r="T529" s="270" t="str">
        <f>VLOOKUP($N529,'2 CODIFICATION'!$G$5:$L$71,6,FALSE)</f>
        <v>Produits exceptionnels</v>
      </c>
    </row>
    <row r="530" spans="1:20" hidden="1">
      <c r="A530" s="201" t="s">
        <v>170</v>
      </c>
      <c r="B530" s="508" t="s">
        <v>79</v>
      </c>
      <c r="C530" s="4">
        <v>1506102</v>
      </c>
      <c r="D530" s="509">
        <v>45124</v>
      </c>
      <c r="E530" s="510" t="s">
        <v>594</v>
      </c>
      <c r="G530" s="511">
        <v>50</v>
      </c>
      <c r="H530" s="511"/>
      <c r="I530" s="471">
        <f t="shared" si="48"/>
        <v>5226.7599999999993</v>
      </c>
      <c r="J530" s="466" t="s">
        <v>273</v>
      </c>
      <c r="K530" s="20">
        <f t="shared" si="49"/>
        <v>7581</v>
      </c>
      <c r="L530" s="74" t="str">
        <f>VLOOKUP($J530,'2 CODIFICATION'!A$5:B$21,2,"FAUX")</f>
        <v>ADMINIST ET FONCT</v>
      </c>
      <c r="M530" s="74" t="str">
        <f>VLOOKUP($K530,'2 CODIFICATION'!D$8:E$64,2,"FAUX")</f>
        <v>Adhésions association</v>
      </c>
      <c r="N530" s="74">
        <v>758100</v>
      </c>
      <c r="O530" s="206">
        <f t="shared" si="50"/>
        <v>50</v>
      </c>
      <c r="P530" s="74">
        <f t="shared" si="51"/>
        <v>2023</v>
      </c>
      <c r="Q530" s="270" t="str">
        <f>VLOOKUP($N530,'2 CODIFICATION'!$G$5:$L$71,3,FALSE)</f>
        <v>Cotisations individuelles et associatives</v>
      </c>
      <c r="R530" s="271" t="str">
        <f>VLOOKUP($N530,'2 CODIFICATION'!$G$5:$L$71,4,FALSE)</f>
        <v>pdts</v>
      </c>
      <c r="S530" s="271">
        <f>VLOOKUP($N530,'2 CODIFICATION'!$G$5:$L$71,5,FALSE)</f>
        <v>75</v>
      </c>
      <c r="T530" s="270" t="str">
        <f>VLOOKUP($N530,'2 CODIFICATION'!$G$5:$L$71,6,FALSE)</f>
        <v>Autres produits de gestion courante</v>
      </c>
    </row>
    <row r="531" spans="1:20" hidden="1">
      <c r="A531" s="201" t="s">
        <v>170</v>
      </c>
      <c r="B531" s="508" t="s">
        <v>79</v>
      </c>
      <c r="C531" s="4">
        <v>1575371</v>
      </c>
      <c r="D531" s="509">
        <v>45139</v>
      </c>
      <c r="E531" s="510" t="s">
        <v>595</v>
      </c>
      <c r="G531" s="542">
        <v>30</v>
      </c>
      <c r="H531" s="511"/>
      <c r="I531" s="471">
        <f t="shared" si="48"/>
        <v>5256.7599999999993</v>
      </c>
      <c r="J531" s="466" t="s">
        <v>273</v>
      </c>
      <c r="K531" s="20">
        <f t="shared" si="49"/>
        <v>7581</v>
      </c>
      <c r="L531" s="74" t="str">
        <f>VLOOKUP($J531,'2 CODIFICATION'!A$5:B$21,2,"FAUX")</f>
        <v>ADMINIST ET FONCT</v>
      </c>
      <c r="M531" s="74" t="str">
        <f>VLOOKUP($K531,'2 CODIFICATION'!D$8:E$64,2,"FAUX")</f>
        <v>Adhésions association</v>
      </c>
      <c r="N531" s="74">
        <v>758100</v>
      </c>
      <c r="O531" s="206">
        <f t="shared" si="50"/>
        <v>30</v>
      </c>
      <c r="P531" s="74">
        <f t="shared" si="51"/>
        <v>2023</v>
      </c>
      <c r="Q531" s="270" t="str">
        <f>VLOOKUP($N531,'2 CODIFICATION'!$G$5:$L$71,3,FALSE)</f>
        <v>Cotisations individuelles et associatives</v>
      </c>
      <c r="R531" s="271" t="str">
        <f>VLOOKUP($N531,'2 CODIFICATION'!$G$5:$L$71,4,FALSE)</f>
        <v>pdts</v>
      </c>
      <c r="S531" s="271">
        <f>VLOOKUP($N531,'2 CODIFICATION'!$G$5:$L$71,5,FALSE)</f>
        <v>75</v>
      </c>
      <c r="T531" s="270" t="str">
        <f>VLOOKUP($N531,'2 CODIFICATION'!$G$5:$L$71,6,FALSE)</f>
        <v>Autres produits de gestion courante</v>
      </c>
    </row>
    <row r="532" spans="1:20" hidden="1">
      <c r="A532" s="201" t="s">
        <v>170</v>
      </c>
      <c r="B532" s="508" t="s">
        <v>79</v>
      </c>
      <c r="C532" s="4">
        <v>5950016</v>
      </c>
      <c r="D532" s="509">
        <v>45168</v>
      </c>
      <c r="E532" s="510" t="s">
        <v>612</v>
      </c>
      <c r="G532" s="542">
        <v>50</v>
      </c>
      <c r="H532" s="511"/>
      <c r="I532" s="471">
        <f t="shared" si="48"/>
        <v>5306.7599999999993</v>
      </c>
      <c r="J532" s="466" t="s">
        <v>273</v>
      </c>
      <c r="K532" s="20">
        <f t="shared" si="49"/>
        <v>7581</v>
      </c>
      <c r="L532" s="74" t="str">
        <f>VLOOKUP($J532,'2 CODIFICATION'!A$5:B$21,2,"FAUX")</f>
        <v>ADMINIST ET FONCT</v>
      </c>
      <c r="M532" s="74" t="str">
        <f>VLOOKUP($K532,'2 CODIFICATION'!D$8:E$64,2,"FAUX")</f>
        <v>Adhésions association</v>
      </c>
      <c r="N532" s="74">
        <v>758100</v>
      </c>
      <c r="O532" s="206">
        <f t="shared" si="50"/>
        <v>50</v>
      </c>
      <c r="P532" s="74">
        <f t="shared" si="51"/>
        <v>2023</v>
      </c>
      <c r="Q532" s="270" t="str">
        <f>VLOOKUP($N532,'2 CODIFICATION'!$G$5:$L$71,3,FALSE)</f>
        <v>Cotisations individuelles et associatives</v>
      </c>
      <c r="R532" s="271" t="str">
        <f>VLOOKUP($N532,'2 CODIFICATION'!$G$5:$L$71,4,FALSE)</f>
        <v>pdts</v>
      </c>
      <c r="S532" s="271">
        <f>VLOOKUP($N532,'2 CODIFICATION'!$G$5:$L$71,5,FALSE)</f>
        <v>75</v>
      </c>
      <c r="T532" s="270" t="str">
        <f>VLOOKUP($N532,'2 CODIFICATION'!$G$5:$L$71,6,FALSE)</f>
        <v>Autres produits de gestion courante</v>
      </c>
    </row>
    <row r="533" spans="1:20" hidden="1">
      <c r="A533" s="201" t="s">
        <v>170</v>
      </c>
      <c r="B533" s="508" t="s">
        <v>79</v>
      </c>
      <c r="C533" s="4">
        <v>3786218</v>
      </c>
      <c r="D533" s="509">
        <v>45171</v>
      </c>
      <c r="E533" s="510" t="s">
        <v>611</v>
      </c>
      <c r="G533" s="542">
        <v>60</v>
      </c>
      <c r="H533" s="511"/>
      <c r="I533" s="471">
        <f t="shared" si="48"/>
        <v>5366.7599999999993</v>
      </c>
      <c r="J533" s="466" t="s">
        <v>273</v>
      </c>
      <c r="K533" s="20">
        <f t="shared" si="49"/>
        <v>7581</v>
      </c>
      <c r="L533" s="74" t="str">
        <f>VLOOKUP($J533,'2 CODIFICATION'!A$5:B$21,2,"FAUX")</f>
        <v>ADMINIST ET FONCT</v>
      </c>
      <c r="M533" s="74" t="str">
        <f>VLOOKUP($K533,'2 CODIFICATION'!D$8:E$64,2,"FAUX")</f>
        <v>Adhésions association</v>
      </c>
      <c r="N533" s="74">
        <v>758100</v>
      </c>
      <c r="O533" s="206">
        <f t="shared" si="50"/>
        <v>60</v>
      </c>
      <c r="P533" s="74">
        <f t="shared" si="51"/>
        <v>2023</v>
      </c>
      <c r="Q533" s="270" t="str">
        <f>VLOOKUP($N533,'2 CODIFICATION'!$G$5:$L$71,3,FALSE)</f>
        <v>Cotisations individuelles et associatives</v>
      </c>
      <c r="R533" s="271" t="str">
        <f>VLOOKUP($N533,'2 CODIFICATION'!$G$5:$L$71,4,FALSE)</f>
        <v>pdts</v>
      </c>
      <c r="S533" s="271">
        <f>VLOOKUP($N533,'2 CODIFICATION'!$G$5:$L$71,5,FALSE)</f>
        <v>75</v>
      </c>
      <c r="T533" s="270" t="str">
        <f>VLOOKUP($N533,'2 CODIFICATION'!$G$5:$L$71,6,FALSE)</f>
        <v>Autres produits de gestion courante</v>
      </c>
    </row>
    <row r="534" spans="1:20" hidden="1">
      <c r="A534" s="201" t="s">
        <v>170</v>
      </c>
      <c r="B534" s="508" t="s">
        <v>79</v>
      </c>
      <c r="C534" s="4">
        <v>3327434</v>
      </c>
      <c r="D534" s="509">
        <v>45176</v>
      </c>
      <c r="E534" s="510" t="s">
        <v>599</v>
      </c>
      <c r="G534" s="528"/>
      <c r="H534" s="528">
        <v>127.71</v>
      </c>
      <c r="I534" s="471">
        <f t="shared" si="48"/>
        <v>5239.0499999999993</v>
      </c>
      <c r="J534" s="466" t="s">
        <v>527</v>
      </c>
      <c r="K534" s="20">
        <f>N534/100</f>
        <v>6230</v>
      </c>
      <c r="L534" s="74" t="str">
        <f>VLOOKUP($J534,'2 CODIFICATION'!A$5:B$21,2,"FAUX")</f>
        <v>TOILETTES ECOSAN</v>
      </c>
      <c r="M534" s="74" t="str">
        <f>VLOOKUP($K534,'2 CODIFICATION'!D$8:E$64,2,"FAUX")</f>
        <v>communication</v>
      </c>
      <c r="N534" s="74">
        <v>623000</v>
      </c>
      <c r="O534" s="206">
        <f>G534-H534</f>
        <v>-127.71</v>
      </c>
      <c r="P534" s="74">
        <f>YEAR(D534)</f>
        <v>2023</v>
      </c>
      <c r="Q534" s="270" t="str">
        <f>VLOOKUP($N534,'2 CODIFICATION'!$G$5:$L$71,3,FALSE)</f>
        <v>Publicité, publications, Création de site web</v>
      </c>
      <c r="R534" s="271" t="str">
        <f>VLOOKUP($N534,'2 CODIFICATION'!$G$5:$L$71,4,FALSE)</f>
        <v>chges</v>
      </c>
      <c r="S534" s="271">
        <f>VLOOKUP($N534,'2 CODIFICATION'!$G$5:$L$71,5,FALSE)</f>
        <v>62</v>
      </c>
      <c r="T534" s="270" t="str">
        <f>VLOOKUP($N534,'2 CODIFICATION'!$G$5:$L$71,6,FALSE)</f>
        <v>Autres services extérieurs</v>
      </c>
    </row>
    <row r="535" spans="1:20" hidden="1">
      <c r="A535" s="201" t="s">
        <v>170</v>
      </c>
      <c r="B535" s="508" t="s">
        <v>79</v>
      </c>
      <c r="C535" s="4">
        <v>3786218</v>
      </c>
      <c r="D535" s="509">
        <v>45201</v>
      </c>
      <c r="E535" s="510" t="s">
        <v>624</v>
      </c>
      <c r="G535" s="542">
        <v>10</v>
      </c>
      <c r="H535" s="511"/>
      <c r="I535" s="471">
        <f t="shared" si="48"/>
        <v>5249.0499999999993</v>
      </c>
      <c r="J535" s="466" t="s">
        <v>273</v>
      </c>
      <c r="K535" s="20">
        <f>N535/100</f>
        <v>7581</v>
      </c>
      <c r="L535" s="74" t="str">
        <f>VLOOKUP($J535,'2 CODIFICATION'!A$5:B$21,2,"FAUX")</f>
        <v>ADMINIST ET FONCT</v>
      </c>
      <c r="M535" s="74" t="str">
        <f>VLOOKUP($K535,'2 CODIFICATION'!D$8:E$64,2,"FAUX")</f>
        <v>Adhésions association</v>
      </c>
      <c r="N535" s="74">
        <v>758100</v>
      </c>
      <c r="O535" s="206">
        <f>G535-H535</f>
        <v>10</v>
      </c>
      <c r="P535" s="74">
        <f>YEAR(D535)</f>
        <v>2023</v>
      </c>
      <c r="Q535" s="270" t="str">
        <f>VLOOKUP($N535,'2 CODIFICATION'!$G$5:$L$71,3,FALSE)</f>
        <v>Cotisations individuelles et associatives</v>
      </c>
      <c r="R535" s="271" t="str">
        <f>VLOOKUP($N535,'2 CODIFICATION'!$G$5:$L$71,4,FALSE)</f>
        <v>pdts</v>
      </c>
      <c r="S535" s="271">
        <f>VLOOKUP($N535,'2 CODIFICATION'!$G$5:$L$71,5,FALSE)</f>
        <v>75</v>
      </c>
      <c r="T535" s="270" t="str">
        <f>VLOOKUP($N535,'2 CODIFICATION'!$G$5:$L$71,6,FALSE)</f>
        <v>Autres produits de gestion courante</v>
      </c>
    </row>
    <row r="536" spans="1:20" hidden="1">
      <c r="A536" s="201" t="s">
        <v>170</v>
      </c>
      <c r="B536" s="508" t="s">
        <v>79</v>
      </c>
      <c r="C536" s="4">
        <v>3786218</v>
      </c>
      <c r="D536" s="509">
        <v>45201</v>
      </c>
      <c r="E536" s="510" t="s">
        <v>629</v>
      </c>
      <c r="G536" s="542">
        <v>50</v>
      </c>
      <c r="H536" s="511"/>
      <c r="I536" s="471">
        <f t="shared" si="48"/>
        <v>5299.0499999999993</v>
      </c>
      <c r="J536" s="466" t="s">
        <v>273</v>
      </c>
      <c r="K536" s="20">
        <f>N536/100</f>
        <v>7581</v>
      </c>
      <c r="L536" s="74" t="str">
        <f>VLOOKUP($J536,'2 CODIFICATION'!A$5:B$21,2,"FAUX")</f>
        <v>ADMINIST ET FONCT</v>
      </c>
      <c r="M536" s="74" t="str">
        <f>VLOOKUP($K536,'2 CODIFICATION'!D$8:E$64,2,"FAUX")</f>
        <v>Adhésions association</v>
      </c>
      <c r="N536" s="74">
        <v>758100</v>
      </c>
      <c r="O536" s="206">
        <f>G536-H536</f>
        <v>50</v>
      </c>
      <c r="P536" s="74">
        <f>YEAR(D536)</f>
        <v>2023</v>
      </c>
      <c r="Q536" s="270" t="str">
        <f>VLOOKUP($N536,'2 CODIFICATION'!$G$5:$L$71,3,FALSE)</f>
        <v>Cotisations individuelles et associatives</v>
      </c>
      <c r="R536" s="271" t="str">
        <f>VLOOKUP($N536,'2 CODIFICATION'!$G$5:$L$71,4,FALSE)</f>
        <v>pdts</v>
      </c>
      <c r="S536" s="271">
        <f>VLOOKUP($N536,'2 CODIFICATION'!$G$5:$L$71,5,FALSE)</f>
        <v>75</v>
      </c>
      <c r="T536" s="270" t="str">
        <f>VLOOKUP($N536,'2 CODIFICATION'!$G$5:$L$71,6,FALSE)</f>
        <v>Autres produits de gestion courante</v>
      </c>
    </row>
    <row r="537" spans="1:20" ht="21.5" hidden="1">
      <c r="A537" s="201" t="s">
        <v>170</v>
      </c>
      <c r="B537" s="508" t="s">
        <v>79</v>
      </c>
      <c r="D537" s="509">
        <v>45279</v>
      </c>
      <c r="E537" s="541" t="s">
        <v>648</v>
      </c>
      <c r="G537" s="511"/>
      <c r="H537" s="511">
        <v>73.260000000000005</v>
      </c>
      <c r="I537" s="471">
        <f t="shared" si="48"/>
        <v>5225.7899999999991</v>
      </c>
      <c r="J537" s="466" t="s">
        <v>527</v>
      </c>
      <c r="K537" s="20">
        <f t="shared" ref="K537:K553" si="52">N537/100</f>
        <v>6250</v>
      </c>
      <c r="L537" s="74" t="str">
        <f>VLOOKUP($J537,'2 CODIFICATION'!A$5:B$21,2,"FAUX")</f>
        <v>TOILETTES ECOSAN</v>
      </c>
      <c r="M537" s="74" t="str">
        <f>VLOOKUP($K537,'2 CODIFICATION'!D$8:E$64,2,"FAUX")</f>
        <v>déplacements</v>
      </c>
      <c r="N537" s="74">
        <v>625000</v>
      </c>
      <c r="O537" s="206">
        <f t="shared" ref="O537:O584" si="53">G537-H537</f>
        <v>-73.260000000000005</v>
      </c>
      <c r="P537" s="74">
        <f t="shared" ref="P537:P571" si="54">YEAR(D537)</f>
        <v>2023</v>
      </c>
      <c r="Q537" s="270" t="str">
        <f>VLOOKUP($N537,'2 CODIFICATION'!$G$5:$L$71,3,FALSE)</f>
        <v>Déplacements, missions et réceptions</v>
      </c>
      <c r="R537" s="271" t="str">
        <f>VLOOKUP($N537,'2 CODIFICATION'!$G$5:$L$71,4,FALSE)</f>
        <v>chges</v>
      </c>
      <c r="S537" s="271">
        <f>VLOOKUP($N537,'2 CODIFICATION'!$G$5:$L$71,5,FALSE)</f>
        <v>62</v>
      </c>
      <c r="T537" s="270" t="str">
        <f>VLOOKUP($N537,'2 CODIFICATION'!$G$5:$L$71,6,FALSE)</f>
        <v>Autres services extérieurs</v>
      </c>
    </row>
    <row r="538" spans="1:20" ht="21.5" hidden="1">
      <c r="A538" s="201" t="s">
        <v>170</v>
      </c>
      <c r="B538" s="508" t="s">
        <v>79</v>
      </c>
      <c r="D538" s="509">
        <v>45279</v>
      </c>
      <c r="E538" s="541" t="s">
        <v>647</v>
      </c>
      <c r="G538" s="511"/>
      <c r="H538" s="511">
        <v>43.6</v>
      </c>
      <c r="I538" s="471">
        <f t="shared" si="48"/>
        <v>5182.1899999999987</v>
      </c>
      <c r="J538" s="466" t="s">
        <v>527</v>
      </c>
      <c r="K538" s="20">
        <f t="shared" si="52"/>
        <v>6250</v>
      </c>
      <c r="L538" s="74" t="str">
        <f>VLOOKUP($J538,'2 CODIFICATION'!A$5:B$21,2,"FAUX")</f>
        <v>TOILETTES ECOSAN</v>
      </c>
      <c r="M538" s="74" t="str">
        <f>VLOOKUP($K538,'2 CODIFICATION'!D$8:E$64,2,"FAUX")</f>
        <v>déplacements</v>
      </c>
      <c r="N538" s="74">
        <v>625000</v>
      </c>
      <c r="O538" s="206">
        <f t="shared" si="53"/>
        <v>-43.6</v>
      </c>
      <c r="P538" s="74">
        <f t="shared" si="54"/>
        <v>2023</v>
      </c>
      <c r="Q538" s="270" t="str">
        <f>VLOOKUP($N538,'2 CODIFICATION'!$G$5:$L$71,3,FALSE)</f>
        <v>Déplacements, missions et réceptions</v>
      </c>
      <c r="R538" s="271" t="str">
        <f>VLOOKUP($N538,'2 CODIFICATION'!$G$5:$L$71,4,FALSE)</f>
        <v>chges</v>
      </c>
      <c r="S538" s="271">
        <f>VLOOKUP($N538,'2 CODIFICATION'!$G$5:$L$71,5,FALSE)</f>
        <v>62</v>
      </c>
      <c r="T538" s="270" t="str">
        <f>VLOOKUP($N538,'2 CODIFICATION'!$G$5:$L$71,6,FALSE)</f>
        <v>Autres services extérieurs</v>
      </c>
    </row>
    <row r="539" spans="1:20" ht="41.5" hidden="1">
      <c r="A539" s="201" t="s">
        <v>170</v>
      </c>
      <c r="B539" s="508" t="s">
        <v>79</v>
      </c>
      <c r="D539" s="509">
        <v>45261</v>
      </c>
      <c r="E539" s="541" t="s">
        <v>645</v>
      </c>
      <c r="G539" s="511">
        <v>20</v>
      </c>
      <c r="H539" s="511"/>
      <c r="I539" s="471">
        <f t="shared" si="48"/>
        <v>5202.1899999999987</v>
      </c>
      <c r="J539" s="466" t="s">
        <v>273</v>
      </c>
      <c r="K539" s="20">
        <f t="shared" si="52"/>
        <v>7581</v>
      </c>
      <c r="L539" s="74" t="str">
        <f>VLOOKUP($J539,'2 CODIFICATION'!A$5:B$21,2,"FAUX")</f>
        <v>ADMINIST ET FONCT</v>
      </c>
      <c r="M539" s="74" t="str">
        <f>VLOOKUP($K539,'2 CODIFICATION'!D$8:E$64,2,"FAUX")</f>
        <v>Adhésions association</v>
      </c>
      <c r="N539" s="74">
        <v>758100</v>
      </c>
      <c r="O539" s="206">
        <f t="shared" si="53"/>
        <v>20</v>
      </c>
      <c r="P539" s="74">
        <f t="shared" si="54"/>
        <v>2023</v>
      </c>
      <c r="Q539" s="270" t="str">
        <f>VLOOKUP($N539,'2 CODIFICATION'!$G$5:$L$71,3,FALSE)</f>
        <v>Cotisations individuelles et associatives</v>
      </c>
      <c r="R539" s="271" t="str">
        <f>VLOOKUP($N539,'2 CODIFICATION'!$G$5:$L$71,4,FALSE)</f>
        <v>pdts</v>
      </c>
      <c r="S539" s="271">
        <f>VLOOKUP($N539,'2 CODIFICATION'!$G$5:$L$71,5,FALSE)</f>
        <v>75</v>
      </c>
      <c r="T539" s="270" t="str">
        <f>VLOOKUP($N539,'2 CODIFICATION'!$G$5:$L$71,6,FALSE)</f>
        <v>Autres produits de gestion courante</v>
      </c>
    </row>
    <row r="540" spans="1:20" ht="21.5" hidden="1">
      <c r="A540" s="201" t="s">
        <v>170</v>
      </c>
      <c r="B540" s="508" t="s">
        <v>79</v>
      </c>
      <c r="D540" s="509">
        <v>45252</v>
      </c>
      <c r="E540" s="510" t="s">
        <v>631</v>
      </c>
      <c r="G540" s="511"/>
      <c r="H540" s="511">
        <v>19.399999999999999</v>
      </c>
      <c r="I540" s="471">
        <f t="shared" si="48"/>
        <v>5182.7899999999991</v>
      </c>
      <c r="J540" s="466" t="s">
        <v>527</v>
      </c>
      <c r="K540" s="20">
        <f t="shared" si="52"/>
        <v>6261</v>
      </c>
      <c r="L540" s="74" t="str">
        <f>VLOOKUP($J540,'2 CODIFICATION'!A$5:B$21,2,"FAUX")</f>
        <v>TOILETTES ECOSAN</v>
      </c>
      <c r="M540" s="74" t="str">
        <f>VLOOKUP($K540,'2 CODIFICATION'!D$8:E$64,2,"FAUX")</f>
        <v>Frais d'envoi</v>
      </c>
      <c r="N540" s="74">
        <v>626100</v>
      </c>
      <c r="O540" s="206">
        <f t="shared" si="53"/>
        <v>-19.399999999999999</v>
      </c>
      <c r="P540" s="74">
        <f t="shared" si="54"/>
        <v>2023</v>
      </c>
      <c r="Q540" s="270" t="str">
        <f>VLOOKUP($N540,'2 CODIFICATION'!$G$5:$L$71,3,FALSE)</f>
        <v>Frais postaux</v>
      </c>
      <c r="R540" s="271" t="str">
        <f>VLOOKUP($N540,'2 CODIFICATION'!$G$5:$L$71,4,FALSE)</f>
        <v>chges</v>
      </c>
      <c r="S540" s="271">
        <f>VLOOKUP($N540,'2 CODIFICATION'!$G$5:$L$71,5,FALSE)</f>
        <v>62</v>
      </c>
      <c r="T540" s="270" t="str">
        <f>VLOOKUP($N540,'2 CODIFICATION'!$G$5:$L$71,6,FALSE)</f>
        <v>Autres services extérieurs</v>
      </c>
    </row>
    <row r="541" spans="1:20" ht="21.5" hidden="1">
      <c r="A541" s="201" t="s">
        <v>170</v>
      </c>
      <c r="B541" s="508" t="s">
        <v>79</v>
      </c>
      <c r="D541" s="509">
        <v>45252</v>
      </c>
      <c r="E541" s="541" t="s">
        <v>895</v>
      </c>
      <c r="G541" s="511"/>
      <c r="H541" s="511">
        <f>917*"3"</f>
        <v>2751</v>
      </c>
      <c r="I541" s="471">
        <f>+I540+G541-H541</f>
        <v>2431.7899999999991</v>
      </c>
      <c r="J541" s="466" t="s">
        <v>527</v>
      </c>
      <c r="K541" s="20">
        <f>N541/100</f>
        <v>6250</v>
      </c>
      <c r="L541" s="74" t="str">
        <f>VLOOKUP($J541,'2 CODIFICATION'!A$5:B$21,2,"FAUX")</f>
        <v>TOILETTES ECOSAN</v>
      </c>
      <c r="M541" s="74" t="str">
        <f>VLOOKUP($K541,'2 CODIFICATION'!D$8:E$64,2,"FAUX")</f>
        <v>déplacements</v>
      </c>
      <c r="N541" s="74">
        <v>625000</v>
      </c>
      <c r="O541" s="206">
        <f>G541-H541</f>
        <v>-2751</v>
      </c>
      <c r="P541" s="74">
        <f>YEAR(D541)</f>
        <v>2023</v>
      </c>
      <c r="Q541" s="270" t="str">
        <f>VLOOKUP($N541,'2 CODIFICATION'!$G$5:$L$71,3,FALSE)</f>
        <v>Déplacements, missions et réceptions</v>
      </c>
      <c r="R541" s="271" t="str">
        <f>VLOOKUP($N541,'2 CODIFICATION'!$G$5:$L$71,4,FALSE)</f>
        <v>chges</v>
      </c>
      <c r="S541" s="271">
        <f>VLOOKUP($N541,'2 CODIFICATION'!$G$5:$L$71,5,FALSE)</f>
        <v>62</v>
      </c>
      <c r="T541" s="270" t="str">
        <f>VLOOKUP($N541,'2 CODIFICATION'!$G$5:$L$71,6,FALSE)</f>
        <v>Autres services extérieurs</v>
      </c>
    </row>
    <row r="542" spans="1:20" ht="21.5" hidden="1">
      <c r="A542" s="201" t="s">
        <v>170</v>
      </c>
      <c r="B542" s="508" t="s">
        <v>79</v>
      </c>
      <c r="D542" s="509">
        <v>45252</v>
      </c>
      <c r="E542" s="510" t="s">
        <v>632</v>
      </c>
      <c r="G542" s="511"/>
      <c r="H542" s="511">
        <f>3972-2751</f>
        <v>1221</v>
      </c>
      <c r="I542" s="471">
        <f>+I541+G542-H542</f>
        <v>1210.7899999999991</v>
      </c>
      <c r="J542" s="466" t="s">
        <v>527</v>
      </c>
      <c r="K542" s="20">
        <f t="shared" si="52"/>
        <v>6250</v>
      </c>
      <c r="L542" s="74" t="str">
        <f>VLOOKUP($J542,'2 CODIFICATION'!A$5:B$21,2,"FAUX")</f>
        <v>TOILETTES ECOSAN</v>
      </c>
      <c r="M542" s="74" t="str">
        <f>VLOOKUP($K542,'2 CODIFICATION'!D$8:E$64,2,"FAUX")</f>
        <v>déplacements</v>
      </c>
      <c r="N542" s="74">
        <v>625000</v>
      </c>
      <c r="O542" s="206">
        <f t="shared" si="53"/>
        <v>-1221</v>
      </c>
      <c r="P542" s="74">
        <f t="shared" si="54"/>
        <v>2023</v>
      </c>
      <c r="Q542" s="270" t="str">
        <f>VLOOKUP($N542,'2 CODIFICATION'!$G$5:$L$71,3,FALSE)</f>
        <v>Déplacements, missions et réceptions</v>
      </c>
      <c r="R542" s="271" t="str">
        <f>VLOOKUP($N542,'2 CODIFICATION'!$G$5:$L$71,4,FALSE)</f>
        <v>chges</v>
      </c>
      <c r="S542" s="271">
        <f>VLOOKUP($N542,'2 CODIFICATION'!$G$5:$L$71,5,FALSE)</f>
        <v>62</v>
      </c>
      <c r="T542" s="270" t="str">
        <f>VLOOKUP($N542,'2 CODIFICATION'!$G$5:$L$71,6,FALSE)</f>
        <v>Autres services extérieurs</v>
      </c>
    </row>
    <row r="543" spans="1:20" hidden="1">
      <c r="A543" s="201" t="s">
        <v>170</v>
      </c>
      <c r="B543" s="508" t="s">
        <v>79</v>
      </c>
      <c r="D543" s="509">
        <v>45251</v>
      </c>
      <c r="E543" s="510" t="s">
        <v>642</v>
      </c>
      <c r="G543" s="511">
        <v>917</v>
      </c>
      <c r="H543" s="511"/>
      <c r="I543" s="471">
        <f t="shared" si="48"/>
        <v>2127.7899999999991</v>
      </c>
      <c r="J543" s="466" t="s">
        <v>527</v>
      </c>
      <c r="K543" s="20">
        <f t="shared" si="52"/>
        <v>6250</v>
      </c>
      <c r="L543" s="74" t="str">
        <f>VLOOKUP($J543,'2 CODIFICATION'!A$5:B$21,2,"FAUX")</f>
        <v>TOILETTES ECOSAN</v>
      </c>
      <c r="M543" s="74" t="str">
        <f>VLOOKUP($K543,'2 CODIFICATION'!D$8:E$64,2,"FAUX")</f>
        <v>déplacements</v>
      </c>
      <c r="N543" s="74">
        <v>625000</v>
      </c>
      <c r="O543" s="206">
        <f t="shared" si="53"/>
        <v>917</v>
      </c>
      <c r="P543" s="74">
        <f t="shared" si="54"/>
        <v>2023</v>
      </c>
      <c r="Q543" s="270" t="str">
        <f>VLOOKUP($N543,'2 CODIFICATION'!$G$5:$L$71,3,FALSE)</f>
        <v>Déplacements, missions et réceptions</v>
      </c>
      <c r="R543" s="271" t="str">
        <f>VLOOKUP($N543,'2 CODIFICATION'!$G$5:$L$71,4,FALSE)</f>
        <v>chges</v>
      </c>
      <c r="S543" s="271">
        <f>VLOOKUP($N543,'2 CODIFICATION'!$G$5:$L$71,5,FALSE)</f>
        <v>62</v>
      </c>
      <c r="T543" s="270" t="str">
        <f>VLOOKUP($N543,'2 CODIFICATION'!$G$5:$L$71,6,FALSE)</f>
        <v>Autres services extérieurs</v>
      </c>
    </row>
    <row r="544" spans="1:20" hidden="1">
      <c r="A544" s="201" t="s">
        <v>170</v>
      </c>
      <c r="B544" s="508" t="s">
        <v>79</v>
      </c>
      <c r="D544" s="509">
        <v>45247</v>
      </c>
      <c r="E544" s="575" t="s">
        <v>639</v>
      </c>
      <c r="G544" s="511">
        <v>917</v>
      </c>
      <c r="H544" s="511"/>
      <c r="I544" s="471">
        <f t="shared" si="48"/>
        <v>3044.7899999999991</v>
      </c>
      <c r="J544" s="466" t="s">
        <v>527</v>
      </c>
      <c r="K544" s="20">
        <f t="shared" si="52"/>
        <v>6250</v>
      </c>
      <c r="L544" s="74" t="str">
        <f>VLOOKUP($J544,'2 CODIFICATION'!A$5:B$21,2,"FAUX")</f>
        <v>TOILETTES ECOSAN</v>
      </c>
      <c r="M544" s="74" t="str">
        <f>VLOOKUP($K544,'2 CODIFICATION'!D$8:E$64,2,"FAUX")</f>
        <v>déplacements</v>
      </c>
      <c r="N544" s="74">
        <v>625000</v>
      </c>
      <c r="O544" s="206">
        <f t="shared" si="53"/>
        <v>917</v>
      </c>
      <c r="P544" s="74">
        <f t="shared" si="54"/>
        <v>2023</v>
      </c>
      <c r="Q544" s="270" t="str">
        <f>VLOOKUP($N544,'2 CODIFICATION'!$G$5:$L$71,3,FALSE)</f>
        <v>Déplacements, missions et réceptions</v>
      </c>
      <c r="R544" s="271" t="str">
        <f>VLOOKUP($N544,'2 CODIFICATION'!$G$5:$L$71,4,FALSE)</f>
        <v>chges</v>
      </c>
      <c r="S544" s="271">
        <f>VLOOKUP($N544,'2 CODIFICATION'!$G$5:$L$71,5,FALSE)</f>
        <v>62</v>
      </c>
      <c r="T544" s="270" t="str">
        <f>VLOOKUP($N544,'2 CODIFICATION'!$G$5:$L$71,6,FALSE)</f>
        <v>Autres services extérieurs</v>
      </c>
    </row>
    <row r="545" spans="1:20" hidden="1">
      <c r="A545" s="201" t="s">
        <v>170</v>
      </c>
      <c r="B545" s="508" t="s">
        <v>79</v>
      </c>
      <c r="D545" s="509">
        <v>45246</v>
      </c>
      <c r="E545" s="510" t="s">
        <v>640</v>
      </c>
      <c r="G545" s="511">
        <v>917</v>
      </c>
      <c r="H545" s="511"/>
      <c r="I545" s="471">
        <f t="shared" si="48"/>
        <v>3961.7899999999991</v>
      </c>
      <c r="J545" s="466" t="s">
        <v>527</v>
      </c>
      <c r="K545" s="20">
        <f t="shared" si="52"/>
        <v>6250</v>
      </c>
      <c r="L545" s="74" t="str">
        <f>VLOOKUP($J545,'2 CODIFICATION'!A$5:B$21,2,"FAUX")</f>
        <v>TOILETTES ECOSAN</v>
      </c>
      <c r="M545" s="74" t="str">
        <f>VLOOKUP($K545,'2 CODIFICATION'!D$8:E$64,2,"FAUX")</f>
        <v>déplacements</v>
      </c>
      <c r="N545" s="74">
        <v>625000</v>
      </c>
      <c r="O545" s="206">
        <f t="shared" si="53"/>
        <v>917</v>
      </c>
      <c r="P545" s="74">
        <f t="shared" si="54"/>
        <v>2023</v>
      </c>
      <c r="Q545" s="270" t="str">
        <f>VLOOKUP($N545,'2 CODIFICATION'!$G$5:$L$71,3,FALSE)</f>
        <v>Déplacements, missions et réceptions</v>
      </c>
      <c r="R545" s="271" t="str">
        <f>VLOOKUP($N545,'2 CODIFICATION'!$G$5:$L$71,4,FALSE)</f>
        <v>chges</v>
      </c>
      <c r="S545" s="271">
        <f>VLOOKUP($N545,'2 CODIFICATION'!$G$5:$L$71,5,FALSE)</f>
        <v>62</v>
      </c>
      <c r="T545" s="270" t="str">
        <f>VLOOKUP($N545,'2 CODIFICATION'!$G$5:$L$71,6,FALSE)</f>
        <v>Autres services extérieurs</v>
      </c>
    </row>
    <row r="546" spans="1:20" ht="21.5" hidden="1">
      <c r="A546" s="201" t="s">
        <v>170</v>
      </c>
      <c r="B546" s="508" t="s">
        <v>79</v>
      </c>
      <c r="D546" s="509">
        <v>45244</v>
      </c>
      <c r="E546" s="510" t="s">
        <v>633</v>
      </c>
      <c r="G546" s="511"/>
      <c r="H546" s="511">
        <v>123.98</v>
      </c>
      <c r="I546" s="471">
        <f>+I543+G546-H546</f>
        <v>2003.809999999999</v>
      </c>
      <c r="J546" s="466" t="s">
        <v>527</v>
      </c>
      <c r="K546" s="20">
        <f t="shared" si="52"/>
        <v>6230</v>
      </c>
      <c r="L546" s="74" t="str">
        <f>VLOOKUP($J546,'2 CODIFICATION'!A$5:B$21,2,"FAUX")</f>
        <v>TOILETTES ECOSAN</v>
      </c>
      <c r="M546" s="74" t="str">
        <f>VLOOKUP($K546,'2 CODIFICATION'!D$8:E$64,2,"FAUX")</f>
        <v>communication</v>
      </c>
      <c r="N546" s="74">
        <v>623000</v>
      </c>
      <c r="O546" s="206">
        <f t="shared" si="53"/>
        <v>-123.98</v>
      </c>
      <c r="P546" s="74">
        <f t="shared" si="54"/>
        <v>2023</v>
      </c>
      <c r="Q546" s="270" t="str">
        <f>VLOOKUP($N546,'2 CODIFICATION'!$G$5:$L$71,3,FALSE)</f>
        <v>Publicité, publications, Création de site web</v>
      </c>
      <c r="R546" s="271" t="str">
        <f>VLOOKUP($N546,'2 CODIFICATION'!$G$5:$L$71,4,FALSE)</f>
        <v>chges</v>
      </c>
      <c r="S546" s="271">
        <f>VLOOKUP($N546,'2 CODIFICATION'!$G$5:$L$71,5,FALSE)</f>
        <v>62</v>
      </c>
      <c r="T546" s="270" t="str">
        <f>VLOOKUP($N546,'2 CODIFICATION'!$G$5:$L$71,6,FALSE)</f>
        <v>Autres services extérieurs</v>
      </c>
    </row>
    <row r="547" spans="1:20" ht="21.5" hidden="1">
      <c r="A547" s="201" t="s">
        <v>170</v>
      </c>
      <c r="B547" s="508" t="s">
        <v>79</v>
      </c>
      <c r="D547" s="509">
        <v>45244</v>
      </c>
      <c r="E547" s="510" t="s">
        <v>634</v>
      </c>
      <c r="G547" s="511">
        <v>70</v>
      </c>
      <c r="H547" s="511"/>
      <c r="I547" s="471">
        <f>+I544+G547-H547</f>
        <v>3114.7899999999991</v>
      </c>
      <c r="J547" s="466" t="s">
        <v>273</v>
      </c>
      <c r="K547" s="20">
        <f t="shared" si="52"/>
        <v>7581</v>
      </c>
      <c r="L547" s="74" t="str">
        <f>VLOOKUP($J547,'2 CODIFICATION'!A$5:B$21,2,"FAUX")</f>
        <v>ADMINIST ET FONCT</v>
      </c>
      <c r="M547" s="74" t="str">
        <f>VLOOKUP($K547,'2 CODIFICATION'!D$8:E$64,2,"FAUX")</f>
        <v>Adhésions association</v>
      </c>
      <c r="N547" s="74">
        <v>758100</v>
      </c>
      <c r="O547" s="206">
        <f t="shared" si="53"/>
        <v>70</v>
      </c>
      <c r="P547" s="74">
        <f t="shared" si="54"/>
        <v>2023</v>
      </c>
      <c r="Q547" s="270" t="str">
        <f>VLOOKUP($N547,'2 CODIFICATION'!$G$5:$L$71,3,FALSE)</f>
        <v>Cotisations individuelles et associatives</v>
      </c>
      <c r="R547" s="271" t="str">
        <f>VLOOKUP($N547,'2 CODIFICATION'!$G$5:$L$71,4,FALSE)</f>
        <v>pdts</v>
      </c>
      <c r="S547" s="271">
        <f>VLOOKUP($N547,'2 CODIFICATION'!$G$5:$L$71,5,FALSE)</f>
        <v>75</v>
      </c>
      <c r="T547" s="270" t="str">
        <f>VLOOKUP($N547,'2 CODIFICATION'!$G$5:$L$71,6,FALSE)</f>
        <v>Autres produits de gestion courante</v>
      </c>
    </row>
    <row r="548" spans="1:20" ht="21.5" hidden="1">
      <c r="A548" s="201" t="s">
        <v>170</v>
      </c>
      <c r="B548" s="508" t="s">
        <v>79</v>
      </c>
      <c r="D548" s="509">
        <v>45237</v>
      </c>
      <c r="E548" s="510" t="s">
        <v>635</v>
      </c>
      <c r="G548" s="511"/>
      <c r="H548" s="848">
        <v>24</v>
      </c>
      <c r="I548" s="471">
        <f t="shared" si="48"/>
        <v>3090.7899999999991</v>
      </c>
      <c r="J548" s="466" t="s">
        <v>527</v>
      </c>
      <c r="K548" s="20">
        <f t="shared" si="52"/>
        <v>6261</v>
      </c>
      <c r="L548" s="74" t="str">
        <f>VLOOKUP($J548,'2 CODIFICATION'!A$5:B$21,2,"FAUX")</f>
        <v>TOILETTES ECOSAN</v>
      </c>
      <c r="M548" s="74" t="str">
        <f>VLOOKUP($K548,'2 CODIFICATION'!D$8:E$64,2,"FAUX")</f>
        <v>Frais d'envoi</v>
      </c>
      <c r="N548" s="74">
        <v>626100</v>
      </c>
      <c r="O548" s="206">
        <f t="shared" si="53"/>
        <v>-24</v>
      </c>
      <c r="P548" s="74">
        <f t="shared" si="54"/>
        <v>2023</v>
      </c>
      <c r="Q548" s="270" t="str">
        <f>VLOOKUP($N548,'2 CODIFICATION'!$G$5:$L$71,3,FALSE)</f>
        <v>Frais postaux</v>
      </c>
      <c r="R548" s="271" t="str">
        <f>VLOOKUP($N548,'2 CODIFICATION'!$G$5:$L$71,4,FALSE)</f>
        <v>chges</v>
      </c>
      <c r="S548" s="271">
        <f>VLOOKUP($N548,'2 CODIFICATION'!$G$5:$L$71,5,FALSE)</f>
        <v>62</v>
      </c>
      <c r="T548" s="270" t="str">
        <f>VLOOKUP($N548,'2 CODIFICATION'!$G$5:$L$71,6,FALSE)</f>
        <v>Autres services extérieurs</v>
      </c>
    </row>
    <row r="549" spans="1:20" ht="21.5" hidden="1">
      <c r="A549" s="201" t="s">
        <v>170</v>
      </c>
      <c r="B549" s="508" t="s">
        <v>79</v>
      </c>
      <c r="D549" s="509">
        <v>45237</v>
      </c>
      <c r="E549" s="510" t="s">
        <v>636</v>
      </c>
      <c r="G549" s="511">
        <v>100</v>
      </c>
      <c r="H549" s="511"/>
      <c r="I549" s="471">
        <f t="shared" si="48"/>
        <v>3190.7899999999991</v>
      </c>
      <c r="J549" s="466" t="s">
        <v>273</v>
      </c>
      <c r="K549" s="20">
        <f t="shared" si="52"/>
        <v>7581</v>
      </c>
      <c r="L549" s="74" t="str">
        <f>VLOOKUP($J549,'2 CODIFICATION'!A$5:B$21,2,"FAUX")</f>
        <v>ADMINIST ET FONCT</v>
      </c>
      <c r="M549" s="74" t="str">
        <f>VLOOKUP($K549,'2 CODIFICATION'!D$8:E$64,2,"FAUX")</f>
        <v>Adhésions association</v>
      </c>
      <c r="N549" s="74">
        <v>758100</v>
      </c>
      <c r="O549" s="206">
        <f t="shared" si="53"/>
        <v>100</v>
      </c>
      <c r="P549" s="74">
        <f t="shared" si="54"/>
        <v>2023</v>
      </c>
      <c r="Q549" s="270" t="str">
        <f>VLOOKUP($N549,'2 CODIFICATION'!$G$5:$L$71,3,FALSE)</f>
        <v>Cotisations individuelles et associatives</v>
      </c>
      <c r="R549" s="271" t="str">
        <f>VLOOKUP($N549,'2 CODIFICATION'!$G$5:$L$71,4,FALSE)</f>
        <v>pdts</v>
      </c>
      <c r="S549" s="271">
        <f>VLOOKUP($N549,'2 CODIFICATION'!$G$5:$L$71,5,FALSE)</f>
        <v>75</v>
      </c>
      <c r="T549" s="270" t="str">
        <f>VLOOKUP($N549,'2 CODIFICATION'!$G$5:$L$71,6,FALSE)</f>
        <v>Autres produits de gestion courante</v>
      </c>
    </row>
    <row r="550" spans="1:20" ht="41.5" hidden="1">
      <c r="A550" s="201" t="s">
        <v>170</v>
      </c>
      <c r="B550" s="508" t="s">
        <v>79</v>
      </c>
      <c r="D550" s="509">
        <v>45233</v>
      </c>
      <c r="E550" s="541" t="s">
        <v>646</v>
      </c>
      <c r="G550" s="511">
        <v>100</v>
      </c>
      <c r="H550" s="511"/>
      <c r="I550" s="471">
        <f t="shared" si="48"/>
        <v>3290.7899999999991</v>
      </c>
      <c r="J550" s="466" t="s">
        <v>273</v>
      </c>
      <c r="K550" s="20">
        <f t="shared" si="52"/>
        <v>7581</v>
      </c>
      <c r="L550" s="74" t="str">
        <f>VLOOKUP($J550,'2 CODIFICATION'!A$5:B$21,2,"FAUX")</f>
        <v>ADMINIST ET FONCT</v>
      </c>
      <c r="M550" s="74" t="str">
        <f>VLOOKUP($K550,'2 CODIFICATION'!D$8:E$64,2,"FAUX")</f>
        <v>Adhésions association</v>
      </c>
      <c r="N550" s="74">
        <v>758100</v>
      </c>
      <c r="O550" s="206">
        <f t="shared" si="53"/>
        <v>100</v>
      </c>
      <c r="P550" s="74">
        <f t="shared" si="54"/>
        <v>2023</v>
      </c>
      <c r="Q550" s="270" t="str">
        <f>VLOOKUP($N550,'2 CODIFICATION'!$G$5:$L$71,3,FALSE)</f>
        <v>Cotisations individuelles et associatives</v>
      </c>
      <c r="R550" s="271" t="str">
        <f>VLOOKUP($N550,'2 CODIFICATION'!$G$5:$L$71,4,FALSE)</f>
        <v>pdts</v>
      </c>
      <c r="S550" s="271">
        <f>VLOOKUP($N550,'2 CODIFICATION'!$G$5:$L$71,5,FALSE)</f>
        <v>75</v>
      </c>
      <c r="T550" s="270" t="str">
        <f>VLOOKUP($N550,'2 CODIFICATION'!$G$5:$L$71,6,FALSE)</f>
        <v>Autres produits de gestion courante</v>
      </c>
    </row>
    <row r="551" spans="1:20" ht="21.5" hidden="1">
      <c r="A551" s="201" t="s">
        <v>170</v>
      </c>
      <c r="B551" s="508" t="s">
        <v>79</v>
      </c>
      <c r="D551" s="509">
        <v>45223</v>
      </c>
      <c r="E551" s="510" t="s">
        <v>631</v>
      </c>
      <c r="G551" s="511"/>
      <c r="H551" s="511">
        <v>19.399999999999999</v>
      </c>
      <c r="I551" s="471">
        <f t="shared" si="48"/>
        <v>3271.389999999999</v>
      </c>
      <c r="J551" s="466" t="s">
        <v>527</v>
      </c>
      <c r="K551" s="20">
        <f t="shared" si="52"/>
        <v>6261</v>
      </c>
      <c r="L551" s="74" t="str">
        <f>VLOOKUP($J551,'2 CODIFICATION'!A$5:B$21,2,"FAUX")</f>
        <v>TOILETTES ECOSAN</v>
      </c>
      <c r="M551" s="74" t="str">
        <f>VLOOKUP($K551,'2 CODIFICATION'!D$8:E$64,2,"FAUX")</f>
        <v>Frais d'envoi</v>
      </c>
      <c r="N551" s="74">
        <v>626100</v>
      </c>
      <c r="O551" s="206">
        <f t="shared" si="53"/>
        <v>-19.399999999999999</v>
      </c>
      <c r="P551" s="74">
        <f t="shared" si="54"/>
        <v>2023</v>
      </c>
      <c r="Q551" s="270" t="str">
        <f>VLOOKUP($N551,'2 CODIFICATION'!$G$5:$L$71,3,FALSE)</f>
        <v>Frais postaux</v>
      </c>
      <c r="R551" s="271" t="str">
        <f>VLOOKUP($N551,'2 CODIFICATION'!$G$5:$L$71,4,FALSE)</f>
        <v>chges</v>
      </c>
      <c r="S551" s="271">
        <f>VLOOKUP($N551,'2 CODIFICATION'!$G$5:$L$71,5,FALSE)</f>
        <v>62</v>
      </c>
      <c r="T551" s="270" t="str">
        <f>VLOOKUP($N551,'2 CODIFICATION'!$G$5:$L$71,6,FALSE)</f>
        <v>Autres services extérieurs</v>
      </c>
    </row>
    <row r="552" spans="1:20" ht="21.5" hidden="1">
      <c r="A552" s="201" t="s">
        <v>170</v>
      </c>
      <c r="B552" s="508" t="s">
        <v>79</v>
      </c>
      <c r="D552" s="509">
        <v>45223</v>
      </c>
      <c r="E552" s="510" t="s">
        <v>637</v>
      </c>
      <c r="G552" s="511"/>
      <c r="H552" s="511">
        <v>3000</v>
      </c>
      <c r="I552" s="471">
        <f t="shared" si="48"/>
        <v>271.38999999999896</v>
      </c>
      <c r="J552" s="466" t="s">
        <v>527</v>
      </c>
      <c r="K552" s="20">
        <f t="shared" si="52"/>
        <v>6110</v>
      </c>
      <c r="L552" s="74" t="str">
        <f>VLOOKUP($J552,'2 CODIFICATION'!A$5:B$21,2,"FAUX")</f>
        <v>TOILETTES ECOSAN</v>
      </c>
      <c r="M552" s="74" t="str">
        <f>VLOOKUP($K552,'2 CODIFICATION'!D$8:E$64,2,"FAUX")</f>
        <v>Sous traitance projet</v>
      </c>
      <c r="N552" s="74">
        <v>611000</v>
      </c>
      <c r="O552" s="206">
        <f t="shared" si="53"/>
        <v>-3000</v>
      </c>
      <c r="P552" s="74">
        <f t="shared" si="54"/>
        <v>2023</v>
      </c>
      <c r="Q552" s="270" t="str">
        <f>VLOOKUP($N552,'2 CODIFICATION'!$G$5:$L$71,3,FALSE)</f>
        <v xml:space="preserve">Sous-traitance générale </v>
      </c>
      <c r="R552" s="271" t="str">
        <f>VLOOKUP($N552,'2 CODIFICATION'!$G$5:$L$71,4,FALSE)</f>
        <v>chges</v>
      </c>
      <c r="S552" s="271">
        <f>VLOOKUP($N552,'2 CODIFICATION'!$G$5:$L$71,5,FALSE)</f>
        <v>61</v>
      </c>
      <c r="T552" s="270" t="str">
        <f>VLOOKUP($N552,'2 CODIFICATION'!$G$5:$L$71,6,FALSE)</f>
        <v>Services extérieurs</v>
      </c>
    </row>
    <row r="553" spans="1:20" ht="31.5" hidden="1">
      <c r="A553" s="201" t="s">
        <v>170</v>
      </c>
      <c r="B553" s="508" t="s">
        <v>79</v>
      </c>
      <c r="D553" s="509">
        <v>45216</v>
      </c>
      <c r="E553" s="510" t="s">
        <v>638</v>
      </c>
      <c r="G553" s="511">
        <v>20</v>
      </c>
      <c r="H553" s="511"/>
      <c r="I553" s="471">
        <f t="shared" si="48"/>
        <v>291.38999999999896</v>
      </c>
      <c r="J553" s="466" t="s">
        <v>273</v>
      </c>
      <c r="K553" s="20">
        <f t="shared" si="52"/>
        <v>7581</v>
      </c>
      <c r="L553" s="74" t="str">
        <f>VLOOKUP($J553,'2 CODIFICATION'!A$5:B$21,2,"FAUX")</f>
        <v>ADMINIST ET FONCT</v>
      </c>
      <c r="M553" s="74" t="str">
        <f>VLOOKUP($K553,'2 CODIFICATION'!D$8:E$64,2,"FAUX")</f>
        <v>Adhésions association</v>
      </c>
      <c r="N553" s="74">
        <v>758100</v>
      </c>
      <c r="O553" s="206">
        <f t="shared" si="53"/>
        <v>20</v>
      </c>
      <c r="P553" s="74">
        <f t="shared" si="54"/>
        <v>2023</v>
      </c>
      <c r="Q553" s="270" t="str">
        <f>VLOOKUP($N553,'2 CODIFICATION'!$G$5:$L$71,3,FALSE)</f>
        <v>Cotisations individuelles et associatives</v>
      </c>
      <c r="R553" s="271" t="str">
        <f>VLOOKUP($N553,'2 CODIFICATION'!$G$5:$L$71,4,FALSE)</f>
        <v>pdts</v>
      </c>
      <c r="S553" s="271">
        <f>VLOOKUP($N553,'2 CODIFICATION'!$G$5:$L$71,5,FALSE)</f>
        <v>75</v>
      </c>
      <c r="T553" s="270" t="str">
        <f>VLOOKUP($N553,'2 CODIFICATION'!$G$5:$L$71,6,FALSE)</f>
        <v>Autres produits de gestion courante</v>
      </c>
    </row>
    <row r="554" spans="1:20" s="78" customFormat="1" ht="15" hidden="1" customHeight="1">
      <c r="A554" s="78" t="s">
        <v>722</v>
      </c>
      <c r="B554" s="78" t="s">
        <v>79</v>
      </c>
      <c r="C554" s="79"/>
      <c r="D554" s="80">
        <v>44927</v>
      </c>
      <c r="E554" s="79" t="s">
        <v>162</v>
      </c>
      <c r="F554" s="147"/>
      <c r="G554" s="464">
        <v>2154.0700000000002</v>
      </c>
      <c r="H554" s="464"/>
      <c r="I554" s="480">
        <f>+G554</f>
        <v>2154.0700000000002</v>
      </c>
      <c r="J554" s="74" t="s">
        <v>273</v>
      </c>
      <c r="K554" s="20">
        <v>5120</v>
      </c>
      <c r="L554" s="74" t="str">
        <f>VLOOKUP($J554,'2 CODIFICATION'!A$5:B$21,2,"FAUX")</f>
        <v>ADMINIST ET FONCT</v>
      </c>
      <c r="M554" s="74" t="str">
        <f>VLOOKUP($K554,'2 CODIFICATION'!D$8:E$64,2,"FAUX")</f>
        <v>Banque</v>
      </c>
      <c r="N554" s="84">
        <f>+K554*100</f>
        <v>512000</v>
      </c>
      <c r="O554" s="206">
        <f t="shared" si="53"/>
        <v>2154.0700000000002</v>
      </c>
      <c r="P554" s="84">
        <f t="shared" si="54"/>
        <v>2023</v>
      </c>
      <c r="Q554" s="270" t="str">
        <f>VLOOKUP($N554,'2 CODIFICATION'!$G$5:$L$71,3,FALSE)</f>
        <v>Banque</v>
      </c>
      <c r="R554" s="271" t="str">
        <f>VLOOKUP($N554,'2 CODIFICATION'!$G$5:$L$71,4,FALSE)</f>
        <v>bilan</v>
      </c>
      <c r="S554" s="271">
        <f>VLOOKUP($N554,'2 CODIFICATION'!$G$5:$L$71,5,FALSE)</f>
        <v>50</v>
      </c>
      <c r="T554" s="270" t="str">
        <f>VLOOKUP($N554,'2 CODIFICATION'!$G$5:$L$71,6,FALSE)</f>
        <v>Trésorerie</v>
      </c>
    </row>
    <row r="555" spans="1:20" s="78" customFormat="1" ht="15" hidden="1" customHeight="1">
      <c r="A555" s="78" t="s">
        <v>722</v>
      </c>
      <c r="B555" s="78" t="s">
        <v>79</v>
      </c>
      <c r="C555" s="79"/>
      <c r="D555" s="80">
        <v>44927</v>
      </c>
      <c r="E555" s="79" t="s">
        <v>162</v>
      </c>
      <c r="F555" s="147"/>
      <c r="G555" s="464">
        <v>14960</v>
      </c>
      <c r="H555" s="82"/>
      <c r="I555" s="471">
        <f>+I554+G555-H555</f>
        <v>17114.07</v>
      </c>
      <c r="J555" s="74" t="s">
        <v>527</v>
      </c>
      <c r="K555" s="20">
        <v>5120</v>
      </c>
      <c r="L555" s="74" t="str">
        <f>VLOOKUP($J555,'2 CODIFICATION'!A$5:B$21,2,"FAUX")</f>
        <v>TOILETTES ECOSAN</v>
      </c>
      <c r="M555" s="74" t="str">
        <f>VLOOKUP($K555,'2 CODIFICATION'!D$8:E$64,2,"FAUX")</f>
        <v>Banque</v>
      </c>
      <c r="N555" s="84">
        <f>+K555*100</f>
        <v>512000</v>
      </c>
      <c r="O555" s="206">
        <f t="shared" si="53"/>
        <v>14960</v>
      </c>
      <c r="P555" s="84">
        <f t="shared" si="54"/>
        <v>2023</v>
      </c>
      <c r="Q555" s="11" t="str">
        <f>VLOOKUP($N555,'2 CODIFICATION'!$G$5:$L$71,3,FALSE)</f>
        <v>Banque</v>
      </c>
      <c r="R555" s="53" t="str">
        <f>VLOOKUP($N555,'2 CODIFICATION'!$G$5:$L$71,4,FALSE)</f>
        <v>bilan</v>
      </c>
      <c r="S555" s="53">
        <f>VLOOKUP($N555,'2 CODIFICATION'!$G$5:$L$71,5,FALSE)</f>
        <v>50</v>
      </c>
      <c r="T555" s="11" t="str">
        <f>VLOOKUP($N555,'2 CODIFICATION'!$G$5:$L$71,6,FALSE)</f>
        <v>Trésorerie</v>
      </c>
    </row>
    <row r="556" spans="1:20" ht="21.5" hidden="1" customHeight="1">
      <c r="A556" s="78" t="s">
        <v>722</v>
      </c>
      <c r="B556" s="374" t="s">
        <v>79</v>
      </c>
      <c r="C556" s="375">
        <v>6</v>
      </c>
      <c r="D556" s="376">
        <v>44933</v>
      </c>
      <c r="E556" s="377" t="s">
        <v>721</v>
      </c>
      <c r="F556" s="378"/>
      <c r="G556" s="378">
        <v>15</v>
      </c>
      <c r="H556" s="379"/>
      <c r="I556" s="471">
        <f t="shared" ref="I556:I584" si="55">+I555+G556-H556</f>
        <v>17129.07</v>
      </c>
      <c r="J556" s="380" t="s">
        <v>273</v>
      </c>
      <c r="K556" s="381">
        <v>5130</v>
      </c>
      <c r="L556" s="74" t="s">
        <v>404</v>
      </c>
      <c r="M556" s="74" t="str">
        <f>VLOOKUP($K556,'2 CODIFICATION'!D$8:E$64,2,"FAUX")</f>
        <v>Parts sociales</v>
      </c>
      <c r="N556" s="45">
        <v>513000</v>
      </c>
      <c r="O556" s="206">
        <f t="shared" si="53"/>
        <v>15</v>
      </c>
      <c r="P556" s="74">
        <f t="shared" si="54"/>
        <v>2023</v>
      </c>
      <c r="Q556" s="270" t="str">
        <f>VLOOKUP($N556,'2 CODIFICATION'!$G$5:$L$71,3,FALSE)</f>
        <v>Parts sociales</v>
      </c>
      <c r="R556" s="271" t="str">
        <f>VLOOKUP($N556,'2 CODIFICATION'!$G$5:$L$71,4,FALSE)</f>
        <v>bilan</v>
      </c>
      <c r="S556" s="271">
        <f>VLOOKUP($N556,'2 CODIFICATION'!$G$5:$L$71,5,FALSE)</f>
        <v>50</v>
      </c>
      <c r="T556" s="270" t="str">
        <f>VLOOKUP($N556,'2 CODIFICATION'!$G$5:$L$71,6,FALSE)</f>
        <v>Trésorerie</v>
      </c>
    </row>
    <row r="557" spans="1:20" ht="14.5" hidden="1" customHeight="1">
      <c r="A557" s="78" t="s">
        <v>722</v>
      </c>
      <c r="B557" s="374" t="s">
        <v>79</v>
      </c>
      <c r="C557" s="375">
        <v>8</v>
      </c>
      <c r="D557" s="376">
        <v>44933</v>
      </c>
      <c r="E557" s="377" t="s">
        <v>574</v>
      </c>
      <c r="F557" s="378" t="s">
        <v>253</v>
      </c>
      <c r="G557" s="379">
        <v>1000</v>
      </c>
      <c r="H557" s="382"/>
      <c r="I557" s="471">
        <f t="shared" si="55"/>
        <v>18129.07</v>
      </c>
      <c r="J557" s="380" t="s">
        <v>273</v>
      </c>
      <c r="K557" s="381">
        <v>7581</v>
      </c>
      <c r="L557" s="74" t="s">
        <v>404</v>
      </c>
      <c r="M557" s="74" t="str">
        <f>VLOOKUP($K557,'2 CODIFICATION'!D$8:E$64,2,"FAUX")</f>
        <v>Adhésions association</v>
      </c>
      <c r="N557" s="45">
        <v>758100</v>
      </c>
      <c r="O557" s="206">
        <f t="shared" si="53"/>
        <v>1000</v>
      </c>
      <c r="P557" s="74">
        <f t="shared" si="54"/>
        <v>2023</v>
      </c>
      <c r="Q557" s="270" t="str">
        <f>VLOOKUP($N557,'2 CODIFICATION'!$G$5:$L$71,3,FALSE)</f>
        <v>Cotisations individuelles et associatives</v>
      </c>
      <c r="R557" s="271" t="str">
        <f>VLOOKUP($N557,'2 CODIFICATION'!$G$5:$L$71,4,FALSE)</f>
        <v>pdts</v>
      </c>
      <c r="S557" s="271">
        <f>VLOOKUP($N557,'2 CODIFICATION'!$G$5:$L$71,5,FALSE)</f>
        <v>75</v>
      </c>
      <c r="T557" s="270" t="str">
        <f>VLOOKUP($N557,'2 CODIFICATION'!$G$5:$L$71,6,FALSE)</f>
        <v>Autres produits de gestion courante</v>
      </c>
    </row>
    <row r="558" spans="1:20" ht="14.5" hidden="1" customHeight="1">
      <c r="A558" s="78" t="s">
        <v>722</v>
      </c>
      <c r="B558" s="374" t="s">
        <v>79</v>
      </c>
      <c r="C558" s="383">
        <v>13</v>
      </c>
      <c r="D558" s="418">
        <v>44979</v>
      </c>
      <c r="E558" s="74" t="s">
        <v>340</v>
      </c>
      <c r="F558" s="383" t="s">
        <v>449</v>
      </c>
      <c r="G558" s="406"/>
      <c r="H558" s="407">
        <v>60</v>
      </c>
      <c r="I558" s="471">
        <f t="shared" si="55"/>
        <v>18069.07</v>
      </c>
      <c r="J558" s="386" t="s">
        <v>273</v>
      </c>
      <c r="K558" s="381">
        <v>6281</v>
      </c>
      <c r="L558" s="74" t="s">
        <v>404</v>
      </c>
      <c r="M558" s="74" t="str">
        <f>VLOOKUP($K558,'2 CODIFICATION'!D$8:E$64,2,"FAUX")</f>
        <v>adhésion Hellasso+ autres</v>
      </c>
      <c r="N558" s="45">
        <v>628100</v>
      </c>
      <c r="O558" s="206">
        <f t="shared" si="53"/>
        <v>-60</v>
      </c>
      <c r="P558" s="74">
        <f t="shared" si="54"/>
        <v>2023</v>
      </c>
      <c r="Q558" s="270" t="str">
        <f>VLOOKUP($N558,'2 CODIFICATION'!$G$5:$L$71,3,FALSE)</f>
        <v>adhesion Hellasso</v>
      </c>
      <c r="R558" s="271" t="str">
        <f>VLOOKUP($N558,'2 CODIFICATION'!$G$5:$L$71,4,FALSE)</f>
        <v>chges</v>
      </c>
      <c r="S558" s="271">
        <f>VLOOKUP($N558,'2 CODIFICATION'!$G$5:$L$71,5,FALSE)</f>
        <v>62</v>
      </c>
      <c r="T558" s="270" t="str">
        <f>VLOOKUP($N558,'2 CODIFICATION'!$G$5:$L$71,6,FALSE)</f>
        <v>Autres services extérieurs</v>
      </c>
    </row>
    <row r="559" spans="1:20" ht="14.5" hidden="1" customHeight="1">
      <c r="A559" s="78" t="s">
        <v>722</v>
      </c>
      <c r="B559" s="374" t="s">
        <v>79</v>
      </c>
      <c r="C559" s="383">
        <v>25</v>
      </c>
      <c r="D559" s="384">
        <v>45003</v>
      </c>
      <c r="E559" s="74" t="s">
        <v>409</v>
      </c>
      <c r="F559" s="383" t="s">
        <v>253</v>
      </c>
      <c r="G559" s="406"/>
      <c r="H559" s="407">
        <v>50</v>
      </c>
      <c r="I559" s="471">
        <f t="shared" si="55"/>
        <v>18019.07</v>
      </c>
      <c r="J559" s="398" t="s">
        <v>273</v>
      </c>
      <c r="K559" s="381">
        <v>6230</v>
      </c>
      <c r="L559" s="74" t="s">
        <v>404</v>
      </c>
      <c r="M559" s="74" t="str">
        <f>VLOOKUP($K559,'2 CODIFICATION'!D$8:E$64,2,"FAUX")</f>
        <v>communication</v>
      </c>
      <c r="N559" s="45">
        <v>623000</v>
      </c>
      <c r="O559" s="206">
        <f t="shared" si="53"/>
        <v>-50</v>
      </c>
      <c r="P559" s="74">
        <f t="shared" si="54"/>
        <v>2023</v>
      </c>
      <c r="Q559" s="270" t="str">
        <f>VLOOKUP($N559,'2 CODIFICATION'!$G$5:$L$71,3,FALSE)</f>
        <v>Publicité, publications, Création de site web</v>
      </c>
      <c r="R559" s="271" t="str">
        <f>VLOOKUP($N559,'2 CODIFICATION'!$G$5:$L$71,4,FALSE)</f>
        <v>chges</v>
      </c>
      <c r="S559" s="271">
        <f>VLOOKUP($N559,'2 CODIFICATION'!$G$5:$L$71,5,FALSE)</f>
        <v>62</v>
      </c>
      <c r="T559" s="270" t="str">
        <f>VLOOKUP($N559,'2 CODIFICATION'!$G$5:$L$71,6,FALSE)</f>
        <v>Autres services extérieurs</v>
      </c>
    </row>
    <row r="560" spans="1:20" ht="15.5" hidden="1" customHeight="1">
      <c r="A560" s="78" t="s">
        <v>722</v>
      </c>
      <c r="B560" s="374" t="s">
        <v>79</v>
      </c>
      <c r="C560" s="383"/>
      <c r="D560" s="369">
        <v>45291</v>
      </c>
      <c r="E560" s="593" t="s">
        <v>719</v>
      </c>
      <c r="H560" s="67">
        <v>1200</v>
      </c>
      <c r="I560" s="471">
        <f t="shared" si="55"/>
        <v>16819.07</v>
      </c>
      <c r="J560" s="361" t="s">
        <v>527</v>
      </c>
      <c r="K560">
        <v>6110</v>
      </c>
      <c r="L560" s="74" t="str">
        <f>VLOOKUP($J560,'2 CODIFICATION'!A$5:B$21,2,"FAUX")</f>
        <v>TOILETTES ECOSAN</v>
      </c>
      <c r="M560" s="74" t="str">
        <f>VLOOKUP($K560,'2 CODIFICATION'!D$8:E$64,2,"FAUX")</f>
        <v>Sous traitance projet</v>
      </c>
      <c r="N560" s="85">
        <f t="shared" ref="N560:N571" si="56">+K560*100</f>
        <v>611000</v>
      </c>
      <c r="O560" s="206">
        <f t="shared" si="53"/>
        <v>-1200</v>
      </c>
      <c r="P560" s="84">
        <f t="shared" si="54"/>
        <v>2023</v>
      </c>
      <c r="Q560" s="11" t="str">
        <f>VLOOKUP($N560,'2 CODIFICATION'!$G$5:$L$71,3,FALSE)</f>
        <v xml:space="preserve">Sous-traitance générale </v>
      </c>
      <c r="R560" s="53" t="str">
        <f>VLOOKUP($N560,'2 CODIFICATION'!$G$5:$L$71,4,FALSE)</f>
        <v>chges</v>
      </c>
      <c r="S560" s="53">
        <f>VLOOKUP($N560,'2 CODIFICATION'!$G$5:$L$71,5,FALSE)</f>
        <v>61</v>
      </c>
      <c r="T560" s="11" t="str">
        <f>VLOOKUP($N560,'2 CODIFICATION'!$G$5:$L$71,6,FALSE)</f>
        <v>Services extérieurs</v>
      </c>
    </row>
    <row r="561" spans="1:20" ht="15.5" hidden="1" customHeight="1">
      <c r="A561" s="78" t="s">
        <v>722</v>
      </c>
      <c r="B561" s="374" t="s">
        <v>79</v>
      </c>
      <c r="C561" s="383"/>
      <c r="D561" s="369">
        <v>45291</v>
      </c>
      <c r="E561" s="685" t="s">
        <v>720</v>
      </c>
      <c r="H561" s="67">
        <v>287</v>
      </c>
      <c r="I561" s="471">
        <f t="shared" si="55"/>
        <v>16532.07</v>
      </c>
      <c r="J561" s="361" t="s">
        <v>527</v>
      </c>
      <c r="K561">
        <v>6110</v>
      </c>
      <c r="L561" s="74" t="str">
        <f>VLOOKUP($J561,'2 CODIFICATION'!A$5:B$21,2,"FAUX")</f>
        <v>TOILETTES ECOSAN</v>
      </c>
      <c r="M561" s="74" t="str">
        <f>VLOOKUP($K561,'2 CODIFICATION'!D$8:E$64,2,"FAUX")</f>
        <v>Sous traitance projet</v>
      </c>
      <c r="N561" s="85">
        <f t="shared" si="56"/>
        <v>611000</v>
      </c>
      <c r="O561" s="206">
        <f t="shared" si="53"/>
        <v>-287</v>
      </c>
      <c r="P561" s="84">
        <f t="shared" si="54"/>
        <v>2023</v>
      </c>
      <c r="Q561" s="11" t="str">
        <f>VLOOKUP($N561,'2 CODIFICATION'!$G$5:$L$71,3,FALSE)</f>
        <v xml:space="preserve">Sous-traitance générale </v>
      </c>
      <c r="R561" s="53" t="str">
        <f>VLOOKUP($N561,'2 CODIFICATION'!$G$5:$L$71,4,FALSE)</f>
        <v>chges</v>
      </c>
      <c r="S561" s="53">
        <f>VLOOKUP($N561,'2 CODIFICATION'!$G$5:$L$71,5,FALSE)</f>
        <v>61</v>
      </c>
      <c r="T561" s="11" t="str">
        <f>VLOOKUP($N561,'2 CODIFICATION'!$G$5:$L$71,6,FALSE)</f>
        <v>Services extérieurs</v>
      </c>
    </row>
    <row r="562" spans="1:20" ht="15.5" hidden="1" customHeight="1">
      <c r="A562" s="78" t="s">
        <v>722</v>
      </c>
      <c r="B562" s="374" t="s">
        <v>79</v>
      </c>
      <c r="C562" s="383"/>
      <c r="D562" s="369">
        <v>45291</v>
      </c>
      <c r="E562" s="723" t="s">
        <v>664</v>
      </c>
      <c r="H562" s="67">
        <v>2400</v>
      </c>
      <c r="I562" s="471">
        <f t="shared" si="55"/>
        <v>14132.07</v>
      </c>
      <c r="J562" s="361" t="s">
        <v>527</v>
      </c>
      <c r="K562">
        <v>6110</v>
      </c>
      <c r="L562" s="74" t="str">
        <f>VLOOKUP($J562,'2 CODIFICATION'!A$5:B$21,2,"FAUX")</f>
        <v>TOILETTES ECOSAN</v>
      </c>
      <c r="M562" s="74" t="str">
        <f>VLOOKUP($K562,'2 CODIFICATION'!D$8:E$64,2,"FAUX")</f>
        <v>Sous traitance projet</v>
      </c>
      <c r="N562" s="85">
        <f t="shared" si="56"/>
        <v>611000</v>
      </c>
      <c r="O562" s="206">
        <f t="shared" si="53"/>
        <v>-2400</v>
      </c>
      <c r="P562" s="84">
        <f t="shared" si="54"/>
        <v>2023</v>
      </c>
      <c r="Q562" s="11" t="str">
        <f>VLOOKUP($N562,'2 CODIFICATION'!$G$5:$L$71,3,FALSE)</f>
        <v xml:space="preserve">Sous-traitance générale </v>
      </c>
      <c r="R562" s="53" t="str">
        <f>VLOOKUP($N562,'2 CODIFICATION'!$G$5:$L$71,4,FALSE)</f>
        <v>chges</v>
      </c>
      <c r="S562" s="53">
        <f>VLOOKUP($N562,'2 CODIFICATION'!$G$5:$L$71,5,FALSE)</f>
        <v>61</v>
      </c>
      <c r="T562" s="11" t="str">
        <f>VLOOKUP($N562,'2 CODIFICATION'!$G$5:$L$71,6,FALSE)</f>
        <v>Services extérieurs</v>
      </c>
    </row>
    <row r="563" spans="1:20" ht="15.5" hidden="1" customHeight="1">
      <c r="A563" s="78" t="s">
        <v>722</v>
      </c>
      <c r="B563" s="374" t="s">
        <v>79</v>
      </c>
      <c r="C563" s="383"/>
      <c r="D563" s="369">
        <v>45291</v>
      </c>
      <c r="E563" s="724" t="s">
        <v>666</v>
      </c>
      <c r="H563" s="67">
        <v>1800</v>
      </c>
      <c r="I563" s="471">
        <f t="shared" si="55"/>
        <v>12332.07</v>
      </c>
      <c r="J563" s="361" t="s">
        <v>527</v>
      </c>
      <c r="K563">
        <v>6110</v>
      </c>
      <c r="L563" s="74" t="str">
        <f>VLOOKUP($J563,'2 CODIFICATION'!A$5:B$21,2,"FAUX")</f>
        <v>TOILETTES ECOSAN</v>
      </c>
      <c r="M563" s="74" t="str">
        <f>VLOOKUP($K563,'2 CODIFICATION'!D$8:E$64,2,"FAUX")</f>
        <v>Sous traitance projet</v>
      </c>
      <c r="N563" s="85">
        <f t="shared" si="56"/>
        <v>611000</v>
      </c>
      <c r="O563" s="206">
        <f t="shared" si="53"/>
        <v>-1800</v>
      </c>
      <c r="P563" s="84">
        <f t="shared" si="54"/>
        <v>2023</v>
      </c>
      <c r="Q563" s="11" t="str">
        <f>VLOOKUP($N563,'2 CODIFICATION'!$G$5:$L$71,3,FALSE)</f>
        <v xml:space="preserve">Sous-traitance générale </v>
      </c>
      <c r="R563" s="53" t="str">
        <f>VLOOKUP($N563,'2 CODIFICATION'!$G$5:$L$71,4,FALSE)</f>
        <v>chges</v>
      </c>
      <c r="S563" s="53">
        <f>VLOOKUP($N563,'2 CODIFICATION'!$G$5:$L$71,5,FALSE)</f>
        <v>61</v>
      </c>
      <c r="T563" s="11" t="str">
        <f>VLOOKUP($N563,'2 CODIFICATION'!$G$5:$L$71,6,FALSE)</f>
        <v>Services extérieurs</v>
      </c>
    </row>
    <row r="564" spans="1:20" ht="15.5" hidden="1" customHeight="1">
      <c r="A564" s="78" t="s">
        <v>722</v>
      </c>
      <c r="B564" s="374" t="s">
        <v>79</v>
      </c>
      <c r="C564" s="383"/>
      <c r="D564" s="369">
        <v>45291</v>
      </c>
      <c r="E564" s="593" t="s">
        <v>668</v>
      </c>
      <c r="H564" s="67">
        <v>1200</v>
      </c>
      <c r="I564" s="471">
        <f t="shared" si="55"/>
        <v>11132.07</v>
      </c>
      <c r="J564" s="361" t="s">
        <v>527</v>
      </c>
      <c r="K564">
        <v>6110</v>
      </c>
      <c r="L564" s="74" t="str">
        <f>VLOOKUP($J564,'2 CODIFICATION'!A$5:B$21,2,"FAUX")</f>
        <v>TOILETTES ECOSAN</v>
      </c>
      <c r="M564" s="74" t="str">
        <f>VLOOKUP($K564,'2 CODIFICATION'!D$8:E$64,2,"FAUX")</f>
        <v>Sous traitance projet</v>
      </c>
      <c r="N564" s="85">
        <f t="shared" si="56"/>
        <v>611000</v>
      </c>
      <c r="O564" s="206">
        <f t="shared" si="53"/>
        <v>-1200</v>
      </c>
      <c r="P564" s="84">
        <f t="shared" si="54"/>
        <v>2023</v>
      </c>
      <c r="Q564" s="11" t="str">
        <f>VLOOKUP($N564,'2 CODIFICATION'!$G$5:$L$71,3,FALSE)</f>
        <v xml:space="preserve">Sous-traitance générale </v>
      </c>
      <c r="R564" s="53" t="str">
        <f>VLOOKUP($N564,'2 CODIFICATION'!$G$5:$L$71,4,FALSE)</f>
        <v>chges</v>
      </c>
      <c r="S564" s="53">
        <f>VLOOKUP($N564,'2 CODIFICATION'!$G$5:$L$71,5,FALSE)</f>
        <v>61</v>
      </c>
      <c r="T564" s="11" t="str">
        <f>VLOOKUP($N564,'2 CODIFICATION'!$G$5:$L$71,6,FALSE)</f>
        <v>Services extérieurs</v>
      </c>
    </row>
    <row r="565" spans="1:20" ht="15.5" hidden="1" customHeight="1">
      <c r="A565" s="78" t="s">
        <v>722</v>
      </c>
      <c r="B565" s="374" t="s">
        <v>79</v>
      </c>
      <c r="C565" s="383"/>
      <c r="D565" s="369">
        <v>45291</v>
      </c>
      <c r="E565" s="723" t="s">
        <v>671</v>
      </c>
      <c r="H565" s="67">
        <v>310</v>
      </c>
      <c r="I565" s="471">
        <f t="shared" si="55"/>
        <v>10822.07</v>
      </c>
      <c r="J565" s="361" t="s">
        <v>527</v>
      </c>
      <c r="K565">
        <v>6110</v>
      </c>
      <c r="L565" s="74" t="str">
        <f>VLOOKUP($J565,'2 CODIFICATION'!A$5:B$21,2,"FAUX")</f>
        <v>TOILETTES ECOSAN</v>
      </c>
      <c r="M565" s="74" t="str">
        <f>VLOOKUP($K565,'2 CODIFICATION'!D$8:E$64,2,"FAUX")</f>
        <v>Sous traitance projet</v>
      </c>
      <c r="N565" s="85">
        <f t="shared" si="56"/>
        <v>611000</v>
      </c>
      <c r="O565" s="206">
        <f t="shared" si="53"/>
        <v>-310</v>
      </c>
      <c r="P565" s="84">
        <f t="shared" si="54"/>
        <v>2023</v>
      </c>
      <c r="Q565" s="11" t="str">
        <f>VLOOKUP($N565,'2 CODIFICATION'!$G$5:$L$71,3,FALSE)</f>
        <v xml:space="preserve">Sous-traitance générale </v>
      </c>
      <c r="R565" s="53" t="str">
        <f>VLOOKUP($N565,'2 CODIFICATION'!$G$5:$L$71,4,FALSE)</f>
        <v>chges</v>
      </c>
      <c r="S565" s="53">
        <f>VLOOKUP($N565,'2 CODIFICATION'!$G$5:$L$71,5,FALSE)</f>
        <v>61</v>
      </c>
      <c r="T565" s="11" t="str">
        <f>VLOOKUP($N565,'2 CODIFICATION'!$G$5:$L$71,6,FALSE)</f>
        <v>Services extérieurs</v>
      </c>
    </row>
    <row r="566" spans="1:20" ht="15.5" hidden="1" customHeight="1">
      <c r="A566" s="78" t="s">
        <v>722</v>
      </c>
      <c r="B566" s="374" t="s">
        <v>79</v>
      </c>
      <c r="C566" s="383"/>
      <c r="D566" s="369">
        <v>45291</v>
      </c>
      <c r="E566" s="669" t="s">
        <v>674</v>
      </c>
      <c r="H566" s="465">
        <f>2000-40</f>
        <v>1960</v>
      </c>
      <c r="I566" s="471">
        <f t="shared" si="55"/>
        <v>8862.07</v>
      </c>
      <c r="J566" s="361" t="s">
        <v>527</v>
      </c>
      <c r="K566">
        <v>6230</v>
      </c>
      <c r="L566" s="74" t="str">
        <f>VLOOKUP($J566,'2 CODIFICATION'!A$5:B$21,2,"FAUX")</f>
        <v>TOILETTES ECOSAN</v>
      </c>
      <c r="M566" s="74" t="str">
        <f>VLOOKUP($K566,'2 CODIFICATION'!D$8:E$64,2,"FAUX")</f>
        <v>communication</v>
      </c>
      <c r="N566" s="85">
        <f t="shared" si="56"/>
        <v>623000</v>
      </c>
      <c r="O566" s="206">
        <f t="shared" si="53"/>
        <v>-1960</v>
      </c>
      <c r="P566" s="84">
        <f t="shared" si="54"/>
        <v>2023</v>
      </c>
      <c r="Q566" s="11" t="str">
        <f>VLOOKUP($N566,'2 CODIFICATION'!$G$5:$L$71,3,FALSE)</f>
        <v>Publicité, publications, Création de site web</v>
      </c>
      <c r="R566" s="53" t="str">
        <f>VLOOKUP($N566,'2 CODIFICATION'!$G$5:$L$71,4,FALSE)</f>
        <v>chges</v>
      </c>
      <c r="S566" s="53">
        <f>VLOOKUP($N566,'2 CODIFICATION'!$G$5:$L$71,5,FALSE)</f>
        <v>62</v>
      </c>
      <c r="T566" s="11" t="str">
        <f>VLOOKUP($N566,'2 CODIFICATION'!$G$5:$L$71,6,FALSE)</f>
        <v>Autres services extérieurs</v>
      </c>
    </row>
    <row r="567" spans="1:20" ht="15.5" hidden="1" customHeight="1">
      <c r="A567" s="78" t="s">
        <v>722</v>
      </c>
      <c r="B567" s="374" t="s">
        <v>79</v>
      </c>
      <c r="C567" s="383"/>
      <c r="D567" s="369">
        <v>45291</v>
      </c>
      <c r="E567" s="673" t="s">
        <v>676</v>
      </c>
      <c r="H567" s="67">
        <v>72000</v>
      </c>
      <c r="I567" s="471">
        <f t="shared" si="55"/>
        <v>-63137.93</v>
      </c>
      <c r="J567" s="361" t="s">
        <v>527</v>
      </c>
      <c r="K567">
        <v>6110</v>
      </c>
      <c r="L567" s="74" t="str">
        <f>VLOOKUP($J567,'2 CODIFICATION'!A$5:B$21,2,"FAUX")</f>
        <v>TOILETTES ECOSAN</v>
      </c>
      <c r="M567" s="74" t="str">
        <f>VLOOKUP($K567,'2 CODIFICATION'!D$8:E$64,2,"FAUX")</f>
        <v>Sous traitance projet</v>
      </c>
      <c r="N567" s="85">
        <f t="shared" si="56"/>
        <v>611000</v>
      </c>
      <c r="O567" s="206">
        <f t="shared" si="53"/>
        <v>-72000</v>
      </c>
      <c r="P567" s="84">
        <f t="shared" si="54"/>
        <v>2023</v>
      </c>
      <c r="Q567" s="11" t="str">
        <f>VLOOKUP($N567,'2 CODIFICATION'!$G$5:$L$71,3,FALSE)</f>
        <v xml:space="preserve">Sous-traitance générale </v>
      </c>
      <c r="R567" s="53" t="str">
        <f>VLOOKUP($N567,'2 CODIFICATION'!$G$5:$L$71,4,FALSE)</f>
        <v>chges</v>
      </c>
      <c r="S567" s="53">
        <f>VLOOKUP($N567,'2 CODIFICATION'!$G$5:$L$71,5,FALSE)</f>
        <v>61</v>
      </c>
      <c r="T567" s="11" t="str">
        <f>VLOOKUP($N567,'2 CODIFICATION'!$G$5:$L$71,6,FALSE)</f>
        <v>Services extérieurs</v>
      </c>
    </row>
    <row r="568" spans="1:20" ht="15.5" hidden="1" customHeight="1">
      <c r="A568" s="78" t="s">
        <v>722</v>
      </c>
      <c r="B568" s="374" t="s">
        <v>79</v>
      </c>
      <c r="C568" s="383"/>
      <c r="D568" s="369">
        <v>45291</v>
      </c>
      <c r="E568" s="673" t="s">
        <v>678</v>
      </c>
      <c r="H568" s="67">
        <v>2800</v>
      </c>
      <c r="I568" s="471">
        <f t="shared" si="55"/>
        <v>-65937.929999999993</v>
      </c>
      <c r="J568" s="361" t="s">
        <v>527</v>
      </c>
      <c r="K568">
        <v>6110</v>
      </c>
      <c r="L568" s="74" t="str">
        <f>VLOOKUP($J568,'2 CODIFICATION'!A$5:B$21,2,"FAUX")</f>
        <v>TOILETTES ECOSAN</v>
      </c>
      <c r="M568" s="74" t="str">
        <f>VLOOKUP($K568,'2 CODIFICATION'!D$8:E$64,2,"FAUX")</f>
        <v>Sous traitance projet</v>
      </c>
      <c r="N568" s="85">
        <f t="shared" si="56"/>
        <v>611000</v>
      </c>
      <c r="O568" s="206">
        <f t="shared" si="53"/>
        <v>-2800</v>
      </c>
      <c r="P568" s="84">
        <f t="shared" si="54"/>
        <v>2023</v>
      </c>
      <c r="Q568" s="11" t="str">
        <f>VLOOKUP($N568,'2 CODIFICATION'!$G$5:$L$71,3,FALSE)</f>
        <v xml:space="preserve">Sous-traitance générale </v>
      </c>
      <c r="R568" s="53" t="str">
        <f>VLOOKUP($N568,'2 CODIFICATION'!$G$5:$L$71,4,FALSE)</f>
        <v>chges</v>
      </c>
      <c r="S568" s="53">
        <f>VLOOKUP($N568,'2 CODIFICATION'!$G$5:$L$71,5,FALSE)</f>
        <v>61</v>
      </c>
      <c r="T568" s="11" t="str">
        <f>VLOOKUP($N568,'2 CODIFICATION'!$G$5:$L$71,6,FALSE)</f>
        <v>Services extérieurs</v>
      </c>
    </row>
    <row r="569" spans="1:20" ht="15.5" hidden="1" customHeight="1">
      <c r="A569" s="78" t="s">
        <v>722</v>
      </c>
      <c r="B569" s="374" t="s">
        <v>79</v>
      </c>
      <c r="C569" s="383"/>
      <c r="D569" s="369">
        <v>45291</v>
      </c>
      <c r="E569" s="669" t="s">
        <v>717</v>
      </c>
      <c r="H569" s="67">
        <v>5200</v>
      </c>
      <c r="I569" s="471">
        <f t="shared" si="55"/>
        <v>-71137.929999999993</v>
      </c>
      <c r="J569" s="361" t="s">
        <v>527</v>
      </c>
      <c r="K569">
        <v>6250</v>
      </c>
      <c r="L569" s="74" t="str">
        <f>VLOOKUP($J569,'2 CODIFICATION'!A$5:B$21,2,"FAUX")</f>
        <v>TOILETTES ECOSAN</v>
      </c>
      <c r="M569" s="74" t="str">
        <f>VLOOKUP($K569,'2 CODIFICATION'!D$8:E$64,2,"FAUX")</f>
        <v>déplacements</v>
      </c>
      <c r="N569" s="85">
        <f t="shared" si="56"/>
        <v>625000</v>
      </c>
      <c r="O569" s="206">
        <f t="shared" si="53"/>
        <v>-5200</v>
      </c>
      <c r="P569" s="84">
        <f t="shared" si="54"/>
        <v>2023</v>
      </c>
      <c r="Q569" s="11" t="str">
        <f>VLOOKUP($N569,'2 CODIFICATION'!$G$5:$L$71,3,FALSE)</f>
        <v>Déplacements, missions et réceptions</v>
      </c>
      <c r="R569" s="53" t="str">
        <f>VLOOKUP($N569,'2 CODIFICATION'!$G$5:$L$71,4,FALSE)</f>
        <v>chges</v>
      </c>
      <c r="S569" s="53">
        <f>VLOOKUP($N569,'2 CODIFICATION'!$G$5:$L$71,5,FALSE)</f>
        <v>62</v>
      </c>
      <c r="T569" s="11" t="str">
        <f>VLOOKUP($N569,'2 CODIFICATION'!$G$5:$L$71,6,FALSE)</f>
        <v>Autres services extérieurs</v>
      </c>
    </row>
    <row r="570" spans="1:20" ht="15.5" hidden="1" customHeight="1">
      <c r="A570" s="78" t="s">
        <v>722</v>
      </c>
      <c r="B570" s="374" t="s">
        <v>79</v>
      </c>
      <c r="C570" s="383"/>
      <c r="D570" s="369">
        <v>45291</v>
      </c>
      <c r="E570" s="593" t="s">
        <v>681</v>
      </c>
      <c r="H570" s="67">
        <v>500</v>
      </c>
      <c r="I570" s="471">
        <f t="shared" si="55"/>
        <v>-71637.929999999993</v>
      </c>
      <c r="J570" s="361" t="s">
        <v>527</v>
      </c>
      <c r="K570" s="582">
        <v>6110</v>
      </c>
      <c r="L570" s="74" t="str">
        <f>VLOOKUP($J570,'2 CODIFICATION'!A$5:B$21,2,"FAUX")</f>
        <v>TOILETTES ECOSAN</v>
      </c>
      <c r="M570" s="74" t="str">
        <f>VLOOKUP($K570,'2 CODIFICATION'!D$8:E$64,2,"FAUX")</f>
        <v>Sous traitance projet</v>
      </c>
      <c r="N570" s="85">
        <f t="shared" si="56"/>
        <v>611000</v>
      </c>
      <c r="O570" s="206">
        <f t="shared" si="53"/>
        <v>-500</v>
      </c>
      <c r="P570" s="84">
        <f t="shared" si="54"/>
        <v>2023</v>
      </c>
      <c r="Q570" s="11" t="str">
        <f>VLOOKUP($N570,'2 CODIFICATION'!$G$5:$L$71,3,FALSE)</f>
        <v xml:space="preserve">Sous-traitance générale </v>
      </c>
      <c r="R570" s="53" t="str">
        <f>VLOOKUP($N570,'2 CODIFICATION'!$G$5:$L$71,4,FALSE)</f>
        <v>chges</v>
      </c>
      <c r="S570" s="53">
        <f>VLOOKUP($N570,'2 CODIFICATION'!$G$5:$L$71,5,FALSE)</f>
        <v>61</v>
      </c>
      <c r="T570" s="11" t="str">
        <f>VLOOKUP($N570,'2 CODIFICATION'!$G$5:$L$71,6,FALSE)</f>
        <v>Services extérieurs</v>
      </c>
    </row>
    <row r="571" spans="1:20" ht="15.5" hidden="1" customHeight="1">
      <c r="A571" s="78" t="s">
        <v>722</v>
      </c>
      <c r="B571" s="374" t="s">
        <v>79</v>
      </c>
      <c r="C571" s="383"/>
      <c r="D571" s="369">
        <v>45291</v>
      </c>
      <c r="E571" s="593" t="s">
        <v>681</v>
      </c>
      <c r="H571" s="67">
        <v>1500</v>
      </c>
      <c r="I571" s="471">
        <f t="shared" si="55"/>
        <v>-73137.929999999993</v>
      </c>
      <c r="J571" s="361" t="s">
        <v>527</v>
      </c>
      <c r="K571">
        <v>6261</v>
      </c>
      <c r="L571" s="74" t="str">
        <f>VLOOKUP($J571,'2 CODIFICATION'!A$5:B$21,2,"FAUX")</f>
        <v>TOILETTES ECOSAN</v>
      </c>
      <c r="M571" s="74" t="str">
        <f>VLOOKUP($K571,'2 CODIFICATION'!D$8:E$64,2,"FAUX")</f>
        <v>Frais d'envoi</v>
      </c>
      <c r="N571" s="85">
        <f t="shared" si="56"/>
        <v>626100</v>
      </c>
      <c r="O571" s="206">
        <f t="shared" si="53"/>
        <v>-1500</v>
      </c>
      <c r="P571" s="84">
        <f t="shared" si="54"/>
        <v>2023</v>
      </c>
      <c r="Q571" s="11" t="str">
        <f>VLOOKUP($N571,'2 CODIFICATION'!$G$5:$L$71,3,FALSE)</f>
        <v>Frais postaux</v>
      </c>
      <c r="R571" s="53" t="str">
        <f>VLOOKUP($N571,'2 CODIFICATION'!$G$5:$L$71,4,FALSE)</f>
        <v>chges</v>
      </c>
      <c r="S571" s="53">
        <f>VLOOKUP($N571,'2 CODIFICATION'!$G$5:$L$71,5,FALSE)</f>
        <v>62</v>
      </c>
      <c r="T571" s="11" t="str">
        <f>VLOOKUP($N571,'2 CODIFICATION'!$G$5:$L$71,6,FALSE)</f>
        <v>Autres services extérieurs</v>
      </c>
    </row>
    <row r="572" spans="1:20" ht="15.5" hidden="1" customHeight="1">
      <c r="A572" s="78" t="s">
        <v>722</v>
      </c>
      <c r="B572" s="374" t="s">
        <v>79</v>
      </c>
      <c r="C572" s="383"/>
      <c r="D572" s="369">
        <v>45291</v>
      </c>
      <c r="E572" s="685" t="s">
        <v>684</v>
      </c>
      <c r="H572" s="67">
        <v>5700</v>
      </c>
      <c r="I572" s="471">
        <f t="shared" si="55"/>
        <v>-78837.929999999993</v>
      </c>
      <c r="J572" s="361" t="s">
        <v>527</v>
      </c>
      <c r="K572">
        <v>6110</v>
      </c>
      <c r="L572" s="74" t="str">
        <f>VLOOKUP($J572,'2 CODIFICATION'!A$5:B$21,2,"FAUX")</f>
        <v>TOILETTES ECOSAN</v>
      </c>
      <c r="M572" s="74" t="str">
        <f>VLOOKUP($K572,'2 CODIFICATION'!D$8:E$64,2,"FAUX")</f>
        <v>Sous traitance projet</v>
      </c>
      <c r="N572" s="85">
        <f>+K572*100</f>
        <v>611000</v>
      </c>
      <c r="O572" s="206">
        <f t="shared" si="53"/>
        <v>-5700</v>
      </c>
      <c r="P572" s="84">
        <f>YEAR(D572)</f>
        <v>2023</v>
      </c>
      <c r="Q572" s="11" t="str">
        <f>VLOOKUP($N572,'2 CODIFICATION'!$G$5:$L$71,3,FALSE)</f>
        <v xml:space="preserve">Sous-traitance générale </v>
      </c>
      <c r="R572" s="53" t="str">
        <f>VLOOKUP($N572,'2 CODIFICATION'!$G$5:$L$71,4,FALSE)</f>
        <v>chges</v>
      </c>
      <c r="S572" s="53">
        <f>VLOOKUP($N572,'2 CODIFICATION'!$G$5:$L$71,5,FALSE)</f>
        <v>61</v>
      </c>
      <c r="T572" s="11" t="str">
        <f>VLOOKUP($N572,'2 CODIFICATION'!$G$5:$L$71,6,FALSE)</f>
        <v>Services extérieurs</v>
      </c>
    </row>
    <row r="573" spans="1:20" ht="15.5" hidden="1" customHeight="1">
      <c r="A573" s="78" t="s">
        <v>722</v>
      </c>
      <c r="B573" s="374" t="s">
        <v>79</v>
      </c>
      <c r="C573" s="383"/>
      <c r="D573" s="369">
        <v>45291</v>
      </c>
      <c r="E573" s="593" t="s">
        <v>686</v>
      </c>
      <c r="H573" s="67">
        <v>1600</v>
      </c>
      <c r="I573" s="471">
        <f t="shared" si="55"/>
        <v>-80437.929999999993</v>
      </c>
      <c r="J573" s="361" t="s">
        <v>527</v>
      </c>
      <c r="K573">
        <v>6110</v>
      </c>
      <c r="L573" s="74" t="str">
        <f>VLOOKUP($J573,'2 CODIFICATION'!A$5:B$21,2,"FAUX")</f>
        <v>TOILETTES ECOSAN</v>
      </c>
      <c r="M573" s="74" t="str">
        <f>VLOOKUP($K573,'2 CODIFICATION'!D$8:E$64,2,"FAUX")</f>
        <v>Sous traitance projet</v>
      </c>
      <c r="N573" s="85">
        <f t="shared" ref="N573:N583" si="57">+K573*100</f>
        <v>611000</v>
      </c>
      <c r="O573" s="206">
        <f t="shared" si="53"/>
        <v>-1600</v>
      </c>
      <c r="P573" s="84">
        <f t="shared" ref="P573:P636" si="58">YEAR(D573)</f>
        <v>2023</v>
      </c>
      <c r="Q573" s="11" t="str">
        <f>VLOOKUP($N573,'2 CODIFICATION'!$G$5:$L$71,3,FALSE)</f>
        <v xml:space="preserve">Sous-traitance générale </v>
      </c>
      <c r="R573" s="53" t="str">
        <f>VLOOKUP($N573,'2 CODIFICATION'!$G$5:$L$71,4,FALSE)</f>
        <v>chges</v>
      </c>
      <c r="S573" s="53">
        <f>VLOOKUP($N573,'2 CODIFICATION'!$G$5:$L$71,5,FALSE)</f>
        <v>61</v>
      </c>
      <c r="T573" s="11" t="str">
        <f>VLOOKUP($N573,'2 CODIFICATION'!$G$5:$L$71,6,FALSE)</f>
        <v>Services extérieurs</v>
      </c>
    </row>
    <row r="574" spans="1:20" ht="15.5" hidden="1" customHeight="1">
      <c r="A574" s="78" t="s">
        <v>722</v>
      </c>
      <c r="B574" s="374" t="s">
        <v>79</v>
      </c>
      <c r="C574" s="383"/>
      <c r="D574" s="369">
        <v>45291</v>
      </c>
      <c r="E574" s="669" t="s">
        <v>716</v>
      </c>
      <c r="H574" s="67">
        <v>1000</v>
      </c>
      <c r="I574" s="471">
        <f t="shared" si="55"/>
        <v>-81437.929999999993</v>
      </c>
      <c r="J574" s="361" t="s">
        <v>527</v>
      </c>
      <c r="K574">
        <v>6110</v>
      </c>
      <c r="L574" s="74" t="str">
        <f>VLOOKUP($J574,'2 CODIFICATION'!A$5:B$21,2,"FAUX")</f>
        <v>TOILETTES ECOSAN</v>
      </c>
      <c r="M574" s="74" t="str">
        <f>VLOOKUP($K574,'2 CODIFICATION'!D$8:E$64,2,"FAUX")</f>
        <v>Sous traitance projet</v>
      </c>
      <c r="N574" s="85">
        <f t="shared" si="57"/>
        <v>611000</v>
      </c>
      <c r="O574" s="206">
        <f t="shared" si="53"/>
        <v>-1000</v>
      </c>
      <c r="P574" s="84">
        <f t="shared" si="58"/>
        <v>2023</v>
      </c>
      <c r="Q574" s="11" t="str">
        <f>VLOOKUP($N574,'2 CODIFICATION'!$G$5:$L$71,3,FALSE)</f>
        <v xml:space="preserve">Sous-traitance générale </v>
      </c>
      <c r="R574" s="53" t="str">
        <f>VLOOKUP($N574,'2 CODIFICATION'!$G$5:$L$71,4,FALSE)</f>
        <v>chges</v>
      </c>
      <c r="S574" s="53">
        <f>VLOOKUP($N574,'2 CODIFICATION'!$G$5:$L$71,5,FALSE)</f>
        <v>61</v>
      </c>
      <c r="T574" s="11" t="str">
        <f>VLOOKUP($N574,'2 CODIFICATION'!$G$5:$L$71,6,FALSE)</f>
        <v>Services extérieurs</v>
      </c>
    </row>
    <row r="575" spans="1:20" ht="15.5" hidden="1" customHeight="1">
      <c r="A575" s="78" t="s">
        <v>722</v>
      </c>
      <c r="B575" s="374" t="s">
        <v>79</v>
      </c>
      <c r="C575" s="383"/>
      <c r="D575" s="369">
        <v>45291</v>
      </c>
      <c r="E575" s="669" t="s">
        <v>716</v>
      </c>
      <c r="H575" s="67">
        <v>500</v>
      </c>
      <c r="I575" s="471">
        <f t="shared" si="55"/>
        <v>-81937.929999999993</v>
      </c>
      <c r="J575" s="361" t="s">
        <v>527</v>
      </c>
      <c r="K575">
        <v>6250</v>
      </c>
      <c r="L575" s="74" t="str">
        <f>VLOOKUP($J575,'2 CODIFICATION'!A$5:B$21,2,"FAUX")</f>
        <v>TOILETTES ECOSAN</v>
      </c>
      <c r="M575" s="74" t="str">
        <f>VLOOKUP($K575,'2 CODIFICATION'!D$8:E$64,2,"FAUX")</f>
        <v>déplacements</v>
      </c>
      <c r="N575" s="85">
        <f t="shared" si="57"/>
        <v>625000</v>
      </c>
      <c r="O575" s="206">
        <f t="shared" si="53"/>
        <v>-500</v>
      </c>
      <c r="P575" s="84">
        <f t="shared" si="58"/>
        <v>2023</v>
      </c>
      <c r="Q575" s="11" t="str">
        <f>VLOOKUP($N575,'2 CODIFICATION'!$G$5:$L$71,3,FALSE)</f>
        <v>Déplacements, missions et réceptions</v>
      </c>
      <c r="R575" s="53" t="str">
        <f>VLOOKUP($N575,'2 CODIFICATION'!$G$5:$L$71,4,FALSE)</f>
        <v>chges</v>
      </c>
      <c r="S575" s="53">
        <f>VLOOKUP($N575,'2 CODIFICATION'!$G$5:$L$71,5,FALSE)</f>
        <v>62</v>
      </c>
      <c r="T575" s="11" t="str">
        <f>VLOOKUP($N575,'2 CODIFICATION'!$G$5:$L$71,6,FALSE)</f>
        <v>Autres services extérieurs</v>
      </c>
    </row>
    <row r="576" spans="1:20" ht="15.5" hidden="1" customHeight="1">
      <c r="A576" s="78" t="s">
        <v>722</v>
      </c>
      <c r="B576" s="374" t="s">
        <v>79</v>
      </c>
      <c r="C576" s="383"/>
      <c r="D576" s="369">
        <v>45291</v>
      </c>
      <c r="E576" s="593" t="s">
        <v>695</v>
      </c>
      <c r="H576" s="67">
        <v>3000</v>
      </c>
      <c r="I576" s="471">
        <f t="shared" si="55"/>
        <v>-84937.93</v>
      </c>
      <c r="J576" s="361" t="s">
        <v>527</v>
      </c>
      <c r="K576">
        <v>8640</v>
      </c>
      <c r="L576" s="74" t="str">
        <f>VLOOKUP($J576,'2 CODIFICATION'!A$5:B$21,2,"FAUX")</f>
        <v>TOILETTES ECOSAN</v>
      </c>
      <c r="M576" s="74" t="str">
        <f>VLOOKUP($K576,'2 CODIFICATION'!D$8:E$64,2,"FAUX")</f>
        <v>Personnels bénévoles</v>
      </c>
      <c r="N576" s="85">
        <f t="shared" si="57"/>
        <v>864000</v>
      </c>
      <c r="O576" s="206">
        <f t="shared" si="53"/>
        <v>-3000</v>
      </c>
      <c r="P576" s="84">
        <f t="shared" si="58"/>
        <v>2023</v>
      </c>
      <c r="Q576" s="11" t="str">
        <f>VLOOKUP($N576,'2 CODIFICATION'!$G$5:$L$71,3,FALSE)</f>
        <v>Personnels bénévoles</v>
      </c>
      <c r="R576" s="53" t="str">
        <f>VLOOKUP($N576,'2 CODIFICATION'!$G$5:$L$71,4,FALSE)</f>
        <v>chges</v>
      </c>
      <c r="S576" s="53">
        <f>VLOOKUP($N576,'2 CODIFICATION'!$G$5:$L$71,5,FALSE)</f>
        <v>86</v>
      </c>
      <c r="T576" s="11" t="str">
        <f>VLOOKUP($N576,'2 CODIFICATION'!$G$5:$L$71,6,FALSE)</f>
        <v>Contributions volontaires</v>
      </c>
    </row>
    <row r="577" spans="1:20" ht="15.5" hidden="1" customHeight="1">
      <c r="A577" s="78" t="s">
        <v>722</v>
      </c>
      <c r="B577" s="374" t="s">
        <v>79</v>
      </c>
      <c r="C577" s="726"/>
      <c r="D577" s="369">
        <v>45291</v>
      </c>
      <c r="E577" s="593" t="s">
        <v>701</v>
      </c>
      <c r="H577" s="67">
        <v>7000</v>
      </c>
      <c r="I577" s="471">
        <f t="shared" si="55"/>
        <v>-91937.93</v>
      </c>
      <c r="J577" s="361" t="s">
        <v>527</v>
      </c>
      <c r="K577">
        <v>8640</v>
      </c>
      <c r="L577" s="74" t="str">
        <f>VLOOKUP($J577,'2 CODIFICATION'!A$5:B$21,2,"FAUX")</f>
        <v>TOILETTES ECOSAN</v>
      </c>
      <c r="M577" s="74" t="str">
        <f>VLOOKUP($K577,'2 CODIFICATION'!D$8:E$64,2,"FAUX")</f>
        <v>Personnels bénévoles</v>
      </c>
      <c r="N577" s="85">
        <f>+K577*100</f>
        <v>864000</v>
      </c>
      <c r="O577" s="206">
        <f>G577-H577</f>
        <v>-7000</v>
      </c>
      <c r="P577" s="84">
        <f>YEAR(D577)</f>
        <v>2023</v>
      </c>
      <c r="Q577" s="11" t="str">
        <f>VLOOKUP($N577,'2 CODIFICATION'!$G$5:$L$71,3,FALSE)</f>
        <v>Personnels bénévoles</v>
      </c>
      <c r="R577" s="53" t="str">
        <f>VLOOKUP($N577,'2 CODIFICATION'!$G$5:$L$71,4,FALSE)</f>
        <v>chges</v>
      </c>
      <c r="S577" s="53">
        <f>VLOOKUP($N577,'2 CODIFICATION'!$G$5:$L$71,5,FALSE)</f>
        <v>86</v>
      </c>
      <c r="T577" s="11" t="str">
        <f>VLOOKUP($N577,'2 CODIFICATION'!$G$5:$L$71,6,FALSE)</f>
        <v>Contributions volontaires</v>
      </c>
    </row>
    <row r="578" spans="1:20" ht="15.5" hidden="1" customHeight="1">
      <c r="A578" s="78" t="s">
        <v>722</v>
      </c>
      <c r="B578" s="374" t="s">
        <v>79</v>
      </c>
      <c r="C578" s="383"/>
      <c r="D578" s="369">
        <v>45291</v>
      </c>
      <c r="E578" t="s">
        <v>529</v>
      </c>
      <c r="G578" s="67">
        <v>5500</v>
      </c>
      <c r="I578" s="471">
        <f>+I577+G578-H578</f>
        <v>-86437.93</v>
      </c>
      <c r="J578" s="361" t="s">
        <v>527</v>
      </c>
      <c r="K578" s="22">
        <v>7771</v>
      </c>
      <c r="L578" s="74" t="str">
        <f>VLOOKUP($J578,'2 CODIFICATION'!A$5:B$21,2,"FAUX")</f>
        <v>TOILETTES ECOSAN</v>
      </c>
      <c r="M578" s="74" t="str">
        <f>VLOOKUP($K578,'2 CODIFICATION'!D$8:E$64,2,"FAUX")</f>
        <v>Dons et participations à l"association</v>
      </c>
      <c r="N578" s="85">
        <f t="shared" si="57"/>
        <v>777100</v>
      </c>
      <c r="O578" s="206">
        <f t="shared" si="53"/>
        <v>5500</v>
      </c>
      <c r="P578" s="84">
        <f t="shared" si="58"/>
        <v>2023</v>
      </c>
      <c r="Q578" s="11" t="str">
        <f>VLOOKUP($N578,'2 CODIFICATION'!$G$5:$L$71,3,FALSE)</f>
        <v>Dons et autres mises à dispositions gratuites</v>
      </c>
      <c r="R578" s="53" t="str">
        <f>VLOOKUP($N578,'2 CODIFICATION'!$G$5:$L$71,4,FALSE)</f>
        <v>pdts</v>
      </c>
      <c r="S578" s="53">
        <f>VLOOKUP($N578,'2 CODIFICATION'!$G$5:$L$71,5,FALSE)</f>
        <v>77</v>
      </c>
      <c r="T578" s="11" t="str">
        <f>VLOOKUP($N578,'2 CODIFICATION'!$G$5:$L$71,6,FALSE)</f>
        <v>Produits exceptionnels</v>
      </c>
    </row>
    <row r="579" spans="1:20" ht="15.5" hidden="1" customHeight="1">
      <c r="A579" s="78" t="s">
        <v>722</v>
      </c>
      <c r="B579" s="374" t="s">
        <v>79</v>
      </c>
      <c r="C579" s="383"/>
      <c r="D579" s="369">
        <v>45291</v>
      </c>
      <c r="E579" t="s">
        <v>538</v>
      </c>
      <c r="G579" s="465">
        <v>15000</v>
      </c>
      <c r="I579" s="471">
        <f t="shared" si="55"/>
        <v>-71437.929999999993</v>
      </c>
      <c r="J579" s="361" t="s">
        <v>527</v>
      </c>
      <c r="K579" s="22">
        <v>7410</v>
      </c>
      <c r="L579" s="74" t="str">
        <f>VLOOKUP($J579,'2 CODIFICATION'!A$5:B$21,2,"FAUX")</f>
        <v>TOILETTES ECOSAN</v>
      </c>
      <c r="M579" s="74" t="str">
        <f>VLOOKUP($K579,'2 CODIFICATION'!D$8:E$64,2,"FAUX")</f>
        <v>Subventions Région Nouvelle Aquitaine</v>
      </c>
      <c r="N579" s="85">
        <f t="shared" si="57"/>
        <v>741000</v>
      </c>
      <c r="O579" s="206">
        <f t="shared" si="53"/>
        <v>15000</v>
      </c>
      <c r="P579" s="84">
        <f t="shared" si="58"/>
        <v>2023</v>
      </c>
      <c r="Q579" s="11" t="str">
        <f>VLOOKUP($N579,'2 CODIFICATION'!$G$5:$L$71,3,FALSE)</f>
        <v>Région Nouvelle-Aquitaine</v>
      </c>
      <c r="R579" s="53" t="str">
        <f>VLOOKUP($N579,'2 CODIFICATION'!$G$5:$L$71,4,FALSE)</f>
        <v>pdts</v>
      </c>
      <c r="S579" s="53">
        <f>VLOOKUP($N579,'2 CODIFICATION'!$G$5:$L$71,5,FALSE)</f>
        <v>74</v>
      </c>
      <c r="T579" s="11" t="str">
        <f>VLOOKUP($N579,'2 CODIFICATION'!$G$5:$L$71,6,FALSE)</f>
        <v>Subventions d'exploitation</v>
      </c>
    </row>
    <row r="580" spans="1:20" ht="15.5" hidden="1" customHeight="1">
      <c r="A580" s="78" t="s">
        <v>722</v>
      </c>
      <c r="B580" s="374" t="s">
        <v>79</v>
      </c>
      <c r="C580" s="383"/>
      <c r="D580" s="369">
        <v>45291</v>
      </c>
      <c r="E580" t="s">
        <v>553</v>
      </c>
      <c r="G580" s="67">
        <v>54497</v>
      </c>
      <c r="I580" s="471">
        <f t="shared" si="55"/>
        <v>-16940.929999999993</v>
      </c>
      <c r="J580" s="361" t="s">
        <v>527</v>
      </c>
      <c r="K580" s="22">
        <v>7430</v>
      </c>
      <c r="L580" s="74" t="str">
        <f>VLOOKUP($J580,'2 CODIFICATION'!A$5:B$21,2,"FAUX")</f>
        <v>TOILETTES ECOSAN</v>
      </c>
      <c r="M580" s="74" t="str">
        <f>VLOOKUP($K580,'2 CODIFICATION'!D$8:E$64,2,"FAUX")</f>
        <v>Subvention Agence Adour Garonne</v>
      </c>
      <c r="N580" s="85">
        <f t="shared" si="57"/>
        <v>743000</v>
      </c>
      <c r="O580" s="206">
        <f t="shared" si="53"/>
        <v>54497</v>
      </c>
      <c r="P580" s="84">
        <f t="shared" si="58"/>
        <v>2023</v>
      </c>
      <c r="Q580" s="11" t="str">
        <f>VLOOKUP($N580,'2 CODIFICATION'!$G$5:$L$71,3,FALSE)</f>
        <v>subvention Agence Adour Garonne</v>
      </c>
      <c r="R580" s="53" t="str">
        <f>VLOOKUP($N580,'2 CODIFICATION'!$G$5:$L$71,4,FALSE)</f>
        <v>pdts</v>
      </c>
      <c r="S580" s="53">
        <f>VLOOKUP($N580,'2 CODIFICATION'!$G$5:$L$71,5,FALSE)</f>
        <v>74</v>
      </c>
      <c r="T580" s="11" t="str">
        <f>VLOOKUP($N580,'2 CODIFICATION'!$G$5:$L$71,6,FALSE)</f>
        <v>Subventions d'exploitation</v>
      </c>
    </row>
    <row r="581" spans="1:20" ht="15.5" hidden="1" customHeight="1">
      <c r="A581" s="78" t="s">
        <v>722</v>
      </c>
      <c r="B581" s="374" t="s">
        <v>79</v>
      </c>
      <c r="C581" s="383"/>
      <c r="D581" s="369">
        <v>45291</v>
      </c>
      <c r="E581" t="s">
        <v>532</v>
      </c>
      <c r="G581" s="67">
        <v>10000</v>
      </c>
      <c r="I581" s="471">
        <f t="shared" si="55"/>
        <v>-6940.929999999993</v>
      </c>
      <c r="J581" s="361" t="s">
        <v>527</v>
      </c>
      <c r="K581" s="22">
        <v>7420</v>
      </c>
      <c r="L581" s="74" t="str">
        <f>VLOOKUP($J581,'2 CODIFICATION'!A$5:B$21,2,"FAUX")</f>
        <v>TOILETTES ECOSAN</v>
      </c>
      <c r="M581" s="74" t="str">
        <f>VLOOKUP($K581,'2 CODIFICATION'!D$8:E$64,2,"FAUX")</f>
        <v>Subvention Agence Micro Projet</v>
      </c>
      <c r="N581" s="85">
        <f t="shared" si="57"/>
        <v>742000</v>
      </c>
      <c r="O581" s="206">
        <f t="shared" si="53"/>
        <v>10000</v>
      </c>
      <c r="P581" s="84">
        <f t="shared" si="58"/>
        <v>2023</v>
      </c>
      <c r="Q581" s="11" t="str">
        <f>VLOOKUP($N581,'2 CODIFICATION'!$G$5:$L$71,3,FALSE)</f>
        <v>AMP-GRATITUDE</v>
      </c>
      <c r="R581" s="53" t="str">
        <f>VLOOKUP($N581,'2 CODIFICATION'!$G$5:$L$71,4,FALSE)</f>
        <v>pdts</v>
      </c>
      <c r="S581" s="53">
        <f>VLOOKUP($N581,'2 CODIFICATION'!$G$5:$L$71,5,FALSE)</f>
        <v>74</v>
      </c>
      <c r="T581" s="11" t="str">
        <f>VLOOKUP($N581,'2 CODIFICATION'!$G$5:$L$71,6,FALSE)</f>
        <v>Subventions d'exploitation</v>
      </c>
    </row>
    <row r="582" spans="1:20" ht="15.5" hidden="1" customHeight="1">
      <c r="A582" s="78" t="s">
        <v>722</v>
      </c>
      <c r="B582" s="374" t="s">
        <v>79</v>
      </c>
      <c r="C582" s="383"/>
      <c r="D582" s="369">
        <v>45291</v>
      </c>
      <c r="E582" t="s">
        <v>533</v>
      </c>
      <c r="G582" s="67">
        <v>10000</v>
      </c>
      <c r="I582" s="471">
        <f>+I580+G582-H582</f>
        <v>-6940.929999999993</v>
      </c>
      <c r="J582" s="361" t="s">
        <v>527</v>
      </c>
      <c r="K582" s="265">
        <v>8700</v>
      </c>
      <c r="L582" s="74" t="str">
        <f>VLOOKUP($J582,'2 CODIFICATION'!A$5:B$21,2,"FAUX")</f>
        <v>TOILETTES ECOSAN</v>
      </c>
      <c r="M582" s="74" t="str">
        <f>VLOOKUP($K582,'2 CODIFICATION'!D$8:E$64,2,"FAUX")</f>
        <v>Bénévolat</v>
      </c>
      <c r="N582" s="85">
        <f t="shared" si="57"/>
        <v>870000</v>
      </c>
      <c r="O582" s="206">
        <f t="shared" si="53"/>
        <v>10000</v>
      </c>
      <c r="P582" s="84">
        <f t="shared" si="58"/>
        <v>2023</v>
      </c>
      <c r="Q582" s="11" t="str">
        <f>VLOOKUP($N582,'2 CODIFICATION'!$G$5:$L$71,3,FALSE)</f>
        <v>Bénévolat</v>
      </c>
      <c r="R582" s="53" t="str">
        <f>VLOOKUP($N582,'2 CODIFICATION'!$G$5:$L$71,4,FALSE)</f>
        <v>pdts</v>
      </c>
      <c r="S582" s="53">
        <f>VLOOKUP($N582,'2 CODIFICATION'!$G$5:$L$71,5,FALSE)</f>
        <v>87</v>
      </c>
      <c r="T582" s="11" t="str">
        <f>VLOOKUP($N582,'2 CODIFICATION'!$G$5:$L$71,6,FALSE)</f>
        <v>Contributions volontaires</v>
      </c>
    </row>
    <row r="583" spans="1:20" s="78" customFormat="1" ht="15" hidden="1" customHeight="1">
      <c r="A583" s="78" t="s">
        <v>722</v>
      </c>
      <c r="B583" s="78" t="s">
        <v>79</v>
      </c>
      <c r="C583" s="79"/>
      <c r="D583" s="369">
        <v>45107</v>
      </c>
      <c r="E583" s="74" t="s">
        <v>278</v>
      </c>
      <c r="F583" s="147"/>
      <c r="G583" s="81"/>
      <c r="H583" s="82">
        <v>100</v>
      </c>
      <c r="I583" s="471">
        <f>+I581+G583-H583</f>
        <v>-7040.929999999993</v>
      </c>
      <c r="J583" s="74" t="s">
        <v>273</v>
      </c>
      <c r="K583" s="20">
        <v>6064</v>
      </c>
      <c r="L583" s="74" t="str">
        <f>VLOOKUP($J583,'2 CODIFICATION'!A$5:B$21,2,"FAUX")</f>
        <v>ADMINIST ET FONCT</v>
      </c>
      <c r="M583" s="74" t="str">
        <f>VLOOKUP($K583,'2 CODIFICATION'!D$8:E$64,2,"FAUX")</f>
        <v>Frais de fonctionnement et fourniture</v>
      </c>
      <c r="N583" s="85">
        <f t="shared" si="57"/>
        <v>606400</v>
      </c>
      <c r="O583" s="206">
        <f t="shared" si="53"/>
        <v>-100</v>
      </c>
      <c r="P583" s="74">
        <f t="shared" si="58"/>
        <v>2023</v>
      </c>
      <c r="Q583" s="270" t="str">
        <f>VLOOKUP($N583,'2 CODIFICATION'!$G$5:$L$71,3,FALSE)</f>
        <v>Fournitures administratives</v>
      </c>
      <c r="R583" s="271" t="str">
        <f>VLOOKUP($N583,'2 CODIFICATION'!$G$5:$L$71,4,FALSE)</f>
        <v>chges</v>
      </c>
      <c r="S583" s="271">
        <f>VLOOKUP($N583,'2 CODIFICATION'!$G$5:$L$71,5,FALSE)</f>
        <v>60</v>
      </c>
      <c r="T583" s="270" t="str">
        <f>VLOOKUP($N583,'2 CODIFICATION'!$G$5:$L$71,6,FALSE)</f>
        <v>Achat</v>
      </c>
    </row>
    <row r="584" spans="1:20" s="513" customFormat="1" ht="14.5" hidden="1" customHeight="1">
      <c r="A584" s="78" t="s">
        <v>722</v>
      </c>
      <c r="B584" s="513" t="s">
        <v>79</v>
      </c>
      <c r="C584" s="514"/>
      <c r="D584" s="515">
        <v>44927</v>
      </c>
      <c r="E584" s="516" t="s">
        <v>167</v>
      </c>
      <c r="F584" s="514" t="s">
        <v>252</v>
      </c>
      <c r="G584" s="517"/>
      <c r="H584" s="518">
        <v>140</v>
      </c>
      <c r="I584" s="471">
        <f t="shared" si="55"/>
        <v>-7180.929999999993</v>
      </c>
      <c r="J584" s="380" t="s">
        <v>273</v>
      </c>
      <c r="K584" s="520">
        <v>6160</v>
      </c>
      <c r="L584" s="521" t="str">
        <f>VLOOKUP($J584,'2 CODIFICATION'!A$5:B$21,2,"FAUX")</f>
        <v>ADMINIST ET FONCT</v>
      </c>
      <c r="M584" s="74" t="str">
        <f>VLOOKUP($K584,'2 CODIFICATION'!D$8:E$64,2,"FAUX")</f>
        <v>Assurance RC</v>
      </c>
      <c r="N584" s="522">
        <f>+K584*100</f>
        <v>616000</v>
      </c>
      <c r="O584" s="523">
        <f t="shared" si="53"/>
        <v>-140</v>
      </c>
      <c r="P584" s="74">
        <f t="shared" si="58"/>
        <v>2023</v>
      </c>
      <c r="Q584" s="270" t="str">
        <f>VLOOKUP($N584,'2 CODIFICATION'!$G$5:$L$71,3,FALSE)</f>
        <v>Primes d'assurance</v>
      </c>
      <c r="R584" s="271" t="str">
        <f>VLOOKUP($N584,'2 CODIFICATION'!$G$5:$L$71,4,FALSE)</f>
        <v>chges</v>
      </c>
      <c r="S584" s="271">
        <f>VLOOKUP($N584,'2 CODIFICATION'!$G$5:$L$71,5,FALSE)</f>
        <v>61</v>
      </c>
      <c r="T584" s="270" t="str">
        <f>VLOOKUP($N584,'2 CODIFICATION'!$G$5:$L$71,6,FALSE)</f>
        <v>Services extérieurs</v>
      </c>
    </row>
    <row r="585" spans="1:20" s="201" customFormat="1" ht="15" hidden="1" customHeight="1">
      <c r="A585" s="201" t="s">
        <v>724</v>
      </c>
      <c r="B585" s="201" t="s">
        <v>79</v>
      </c>
      <c r="C585" s="202"/>
      <c r="D585" s="268">
        <v>45292</v>
      </c>
      <c r="E585" s="202" t="s">
        <v>162</v>
      </c>
      <c r="F585" s="172"/>
      <c r="G585" s="527">
        <v>15</v>
      </c>
      <c r="H585" s="527"/>
      <c r="I585" s="529">
        <v>15</v>
      </c>
      <c r="J585" s="521" t="s">
        <v>273</v>
      </c>
      <c r="K585" s="20">
        <v>5120</v>
      </c>
      <c r="L585" s="74" t="s">
        <v>404</v>
      </c>
      <c r="M585" s="74" t="str">
        <f>VLOOKUP($K585,'2 CODIFICATION'!D$8:E$64,2,"FAUX")</f>
        <v>Banque</v>
      </c>
      <c r="N585" s="74">
        <f>+K585*100</f>
        <v>512000</v>
      </c>
      <c r="O585" s="206">
        <f>+G585-H585</f>
        <v>15</v>
      </c>
      <c r="P585" s="74">
        <f>YEAR(D585)</f>
        <v>2024</v>
      </c>
      <c r="Q585" s="270" t="str">
        <f>VLOOKUP($N585,'2 CODIFICATION'!$G$5:$L$71,3,FALSE)</f>
        <v>Banque</v>
      </c>
      <c r="R585" s="271" t="str">
        <f>VLOOKUP($N585,'2 CODIFICATION'!$G$5:$L$71,4,FALSE)</f>
        <v>bilan</v>
      </c>
      <c r="S585" s="271">
        <f>VLOOKUP($N585,'2 CODIFICATION'!$G$5:$L$71,5,FALSE)</f>
        <v>50</v>
      </c>
      <c r="T585" s="270" t="str">
        <f>VLOOKUP($N585,'2 CODIFICATION'!$G$5:$L$71,6,FALSE)</f>
        <v>Trésorerie</v>
      </c>
    </row>
    <row r="586" spans="1:20" s="201" customFormat="1" ht="15" hidden="1" customHeight="1">
      <c r="A586" s="201" t="s">
        <v>724</v>
      </c>
      <c r="B586" s="201" t="s">
        <v>79</v>
      </c>
      <c r="C586" s="202"/>
      <c r="D586" s="268">
        <v>45292</v>
      </c>
      <c r="E586" s="202" t="s">
        <v>162</v>
      </c>
      <c r="F586" s="172"/>
      <c r="G586" s="527">
        <v>4374.6440000000002</v>
      </c>
      <c r="H586" s="527"/>
      <c r="I586" s="477">
        <f>I585+G586-H586</f>
        <v>4389.6440000000002</v>
      </c>
      <c r="J586" s="521" t="s">
        <v>273</v>
      </c>
      <c r="K586" s="20">
        <v>5120</v>
      </c>
      <c r="L586" s="74" t="s">
        <v>404</v>
      </c>
      <c r="M586" s="74" t="str">
        <f>VLOOKUP($K586,'2 CODIFICATION'!D$8:E$64,2,"FAUX")</f>
        <v>Banque</v>
      </c>
      <c r="N586" s="74">
        <f>+K586*100</f>
        <v>512000</v>
      </c>
      <c r="O586" s="206">
        <f>+G586-H586</f>
        <v>4374.6440000000002</v>
      </c>
      <c r="P586" s="74">
        <f>YEAR(D586)</f>
        <v>2024</v>
      </c>
      <c r="Q586" s="270" t="str">
        <f>VLOOKUP($N586,'2 CODIFICATION'!$G$5:$L$71,3,FALSE)</f>
        <v>Banque</v>
      </c>
      <c r="R586" s="271" t="str">
        <f>VLOOKUP($N586,'2 CODIFICATION'!$G$5:$L$71,4,FALSE)</f>
        <v>bilan</v>
      </c>
      <c r="S586" s="271">
        <f>VLOOKUP($N586,'2 CODIFICATION'!$G$5:$L$71,5,FALSE)</f>
        <v>50</v>
      </c>
      <c r="T586" s="270" t="str">
        <f>VLOOKUP($N586,'2 CODIFICATION'!$G$5:$L$71,6,FALSE)</f>
        <v>Trésorerie</v>
      </c>
    </row>
    <row r="587" spans="1:20" s="78" customFormat="1" ht="15" hidden="1" customHeight="1">
      <c r="A587" s="78" t="s">
        <v>724</v>
      </c>
      <c r="B587" s="78" t="s">
        <v>79</v>
      </c>
      <c r="C587" s="79"/>
      <c r="D587" s="80">
        <v>45292</v>
      </c>
      <c r="E587" s="79" t="s">
        <v>162</v>
      </c>
      <c r="F587" s="147"/>
      <c r="G587" s="67">
        <v>-3305.2339999999967</v>
      </c>
      <c r="H587" s="82"/>
      <c r="I587" s="477">
        <f t="shared" ref="I587:I651" si="59">I586+G587-H587</f>
        <v>1084.4100000000035</v>
      </c>
      <c r="J587" s="74" t="s">
        <v>527</v>
      </c>
      <c r="K587" s="20">
        <v>5120</v>
      </c>
      <c r="L587" s="74" t="str">
        <f>VLOOKUP($J587,'2 CODIFICATION'!A$5:B$21,2,"FAUX")</f>
        <v>TOILETTES ECOSAN</v>
      </c>
      <c r="M587" s="74" t="str">
        <f>VLOOKUP($K587,'2 CODIFICATION'!D$8:E$64,2,"FAUX")</f>
        <v>Banque</v>
      </c>
      <c r="N587" s="84">
        <f>+K587*100</f>
        <v>512000</v>
      </c>
      <c r="O587" s="206">
        <f>G587-H587</f>
        <v>-3305.2339999999967</v>
      </c>
      <c r="P587" s="84">
        <f>YEAR(D587)</f>
        <v>2024</v>
      </c>
      <c r="Q587" s="11" t="str">
        <f>VLOOKUP($N587,'2 CODIFICATION'!$G$5:$L$71,3,FALSE)</f>
        <v>Banque</v>
      </c>
      <c r="R587" s="53" t="str">
        <f>VLOOKUP($N587,'2 CODIFICATION'!$G$5:$L$71,4,FALSE)</f>
        <v>bilan</v>
      </c>
      <c r="S587" s="53">
        <f>VLOOKUP($N587,'2 CODIFICATION'!$G$5:$L$71,5,FALSE)</f>
        <v>50</v>
      </c>
      <c r="T587" s="11" t="str">
        <f>VLOOKUP($N587,'2 CODIFICATION'!$G$5:$L$71,6,FALSE)</f>
        <v>Trésorerie</v>
      </c>
    </row>
    <row r="588" spans="1:20" ht="15.5" hidden="1" customHeight="1">
      <c r="A588" s="78" t="s">
        <v>724</v>
      </c>
      <c r="B588" s="374">
        <v>2024</v>
      </c>
      <c r="C588" s="383"/>
      <c r="D588" s="369">
        <v>45657</v>
      </c>
      <c r="E588" s="463" t="s">
        <v>577</v>
      </c>
      <c r="G588" s="67">
        <v>15000</v>
      </c>
      <c r="H588" s="67"/>
      <c r="I588" s="477">
        <f t="shared" si="59"/>
        <v>16084.410000000003</v>
      </c>
      <c r="J588" s="361" t="s">
        <v>527</v>
      </c>
      <c r="K588">
        <v>7410</v>
      </c>
      <c r="L588" s="74" t="str">
        <f>VLOOKUP($J588,'2 CODIFICATION'!A$5:B$21,2,"FAUX")</f>
        <v>TOILETTES ECOSAN</v>
      </c>
      <c r="M588" s="74" t="str">
        <f>VLOOKUP($K588,'2 CODIFICATION'!D$8:E$64,2,"FAUX")</f>
        <v>Subventions Région Nouvelle Aquitaine</v>
      </c>
      <c r="N588" s="85">
        <f t="shared" ref="N588:N595" si="60">+K588*100</f>
        <v>741000</v>
      </c>
      <c r="O588" s="206">
        <f t="shared" ref="O588:O595" si="61">G588-H588</f>
        <v>15000</v>
      </c>
      <c r="P588" s="84">
        <f t="shared" si="58"/>
        <v>2024</v>
      </c>
      <c r="Q588" s="11" t="str">
        <f>VLOOKUP($N588,'2 CODIFICATION'!$G$5:$L$71,3,FALSE)</f>
        <v>Région Nouvelle-Aquitaine</v>
      </c>
      <c r="R588" s="53" t="str">
        <f>VLOOKUP($N588,'2 CODIFICATION'!$G$5:$L$71,4,FALSE)</f>
        <v>pdts</v>
      </c>
      <c r="S588" s="53">
        <f>VLOOKUP($N588,'2 CODIFICATION'!$G$5:$L$71,5,FALSE)</f>
        <v>74</v>
      </c>
      <c r="T588" s="11" t="str">
        <f>VLOOKUP($N588,'2 CODIFICATION'!$G$5:$L$71,6,FALSE)</f>
        <v>Subventions d'exploitation</v>
      </c>
    </row>
    <row r="589" spans="1:20" ht="15.5" hidden="1" customHeight="1">
      <c r="A589" s="78" t="s">
        <v>724</v>
      </c>
      <c r="B589" s="374" t="s">
        <v>79</v>
      </c>
      <c r="C589" s="383"/>
      <c r="D589" s="369">
        <v>45657</v>
      </c>
      <c r="E589" s="463" t="s">
        <v>578</v>
      </c>
      <c r="G589" s="67">
        <v>3333</v>
      </c>
      <c r="H589" s="67"/>
      <c r="I589" s="477">
        <f t="shared" si="59"/>
        <v>19417.410000000003</v>
      </c>
      <c r="J589" s="361" t="s">
        <v>527</v>
      </c>
      <c r="K589">
        <v>7420</v>
      </c>
      <c r="L589" s="74" t="str">
        <f>VLOOKUP($J589,'2 CODIFICATION'!A$5:B$21,2,"FAUX")</f>
        <v>TOILETTES ECOSAN</v>
      </c>
      <c r="M589" s="74" t="str">
        <f>VLOOKUP($K589,'2 CODIFICATION'!D$8:E$64,2,"FAUX")</f>
        <v>Subvention Agence Micro Projet</v>
      </c>
      <c r="N589" s="85">
        <f t="shared" si="60"/>
        <v>742000</v>
      </c>
      <c r="O589" s="206">
        <f t="shared" si="61"/>
        <v>3333</v>
      </c>
      <c r="P589" s="84">
        <f t="shared" si="58"/>
        <v>2024</v>
      </c>
      <c r="Q589" s="11" t="str">
        <f>VLOOKUP($N589,'2 CODIFICATION'!$G$5:$L$71,3,FALSE)</f>
        <v>AMP-GRATITUDE</v>
      </c>
      <c r="R589" s="53" t="str">
        <f>VLOOKUP($N589,'2 CODIFICATION'!$G$5:$L$71,4,FALSE)</f>
        <v>pdts</v>
      </c>
      <c r="S589" s="53">
        <f>VLOOKUP($N589,'2 CODIFICATION'!$G$5:$L$71,5,FALSE)</f>
        <v>74</v>
      </c>
      <c r="T589" s="11" t="str">
        <f>VLOOKUP($N589,'2 CODIFICATION'!$G$5:$L$71,6,FALSE)</f>
        <v>Subventions d'exploitation</v>
      </c>
    </row>
    <row r="590" spans="1:20" ht="15.5" hidden="1" customHeight="1">
      <c r="A590" s="78" t="s">
        <v>724</v>
      </c>
      <c r="B590" s="374" t="s">
        <v>79</v>
      </c>
      <c r="C590" s="383"/>
      <c r="D590" s="369">
        <v>45657</v>
      </c>
      <c r="E590" s="463" t="s">
        <v>579</v>
      </c>
      <c r="G590" s="67">
        <v>16344.199999999997</v>
      </c>
      <c r="H590" s="67"/>
      <c r="I590" s="477">
        <f t="shared" si="59"/>
        <v>35761.61</v>
      </c>
      <c r="J590" s="361" t="s">
        <v>527</v>
      </c>
      <c r="K590">
        <v>7430</v>
      </c>
      <c r="L590" s="74" t="str">
        <f>VLOOKUP($J590,'2 CODIFICATION'!A$5:B$21,2,"FAUX")</f>
        <v>TOILETTES ECOSAN</v>
      </c>
      <c r="M590" s="74" t="str">
        <f>VLOOKUP($K590,'2 CODIFICATION'!D$8:E$64,2,"FAUX")</f>
        <v>Subvention Agence Adour Garonne</v>
      </c>
      <c r="N590" s="85">
        <f t="shared" si="60"/>
        <v>743000</v>
      </c>
      <c r="O590" s="206">
        <f t="shared" si="61"/>
        <v>16344.199999999997</v>
      </c>
      <c r="P590" s="84">
        <f t="shared" si="58"/>
        <v>2024</v>
      </c>
      <c r="Q590" s="11" t="str">
        <f>VLOOKUP($N590,'2 CODIFICATION'!$G$5:$L$71,3,FALSE)</f>
        <v>subvention Agence Adour Garonne</v>
      </c>
      <c r="R590" s="53" t="str">
        <f>VLOOKUP($N590,'2 CODIFICATION'!$G$5:$L$71,4,FALSE)</f>
        <v>pdts</v>
      </c>
      <c r="S590" s="53">
        <f>VLOOKUP($N590,'2 CODIFICATION'!$G$5:$L$71,5,FALSE)</f>
        <v>74</v>
      </c>
      <c r="T590" s="11" t="str">
        <f>VLOOKUP($N590,'2 CODIFICATION'!$G$5:$L$71,6,FALSE)</f>
        <v>Subventions d'exploitation</v>
      </c>
    </row>
    <row r="591" spans="1:20" ht="15.5" hidden="1" customHeight="1">
      <c r="A591" s="78" t="s">
        <v>724</v>
      </c>
      <c r="B591" s="374" t="s">
        <v>79</v>
      </c>
      <c r="C591" s="383"/>
      <c r="D591" s="369">
        <v>45657</v>
      </c>
      <c r="E591" s="463" t="s">
        <v>60</v>
      </c>
      <c r="G591" s="67"/>
      <c r="H591" s="67"/>
      <c r="I591" s="477">
        <f t="shared" si="59"/>
        <v>35761.61</v>
      </c>
      <c r="J591" s="361" t="s">
        <v>527</v>
      </c>
      <c r="K591">
        <v>7770</v>
      </c>
      <c r="L591" s="74" t="str">
        <f>VLOOKUP($J591,'2 CODIFICATION'!A$5:B$21,2,"FAUX")</f>
        <v>TOILETTES ECOSAN</v>
      </c>
      <c r="M591" s="74" t="str">
        <f>VLOOKUP($K591,'2 CODIFICATION'!D$8:E$64,2,"FAUX")</f>
        <v>Produits exceptionnels</v>
      </c>
      <c r="N591" s="85">
        <f t="shared" si="60"/>
        <v>777000</v>
      </c>
      <c r="O591" s="206">
        <f t="shared" si="61"/>
        <v>0</v>
      </c>
      <c r="P591" s="84">
        <f t="shared" si="58"/>
        <v>2024</v>
      </c>
      <c r="Q591" s="11" t="str">
        <f>VLOOKUP($N591,'2 CODIFICATION'!$G$5:$L$71,3,FALSE)</f>
        <v>Produits exceptionnels</v>
      </c>
      <c r="R591" s="53" t="str">
        <f>VLOOKUP($N591,'2 CODIFICATION'!$G$5:$L$71,4,FALSE)</f>
        <v>pdts</v>
      </c>
      <c r="S591" s="53">
        <f>VLOOKUP($N591,'2 CODIFICATION'!$G$5:$L$71,5,FALSE)</f>
        <v>77</v>
      </c>
      <c r="T591" s="11" t="str">
        <f>VLOOKUP($N591,'2 CODIFICATION'!$G$5:$L$71,6,FALSE)</f>
        <v>Produits exceptionnels</v>
      </c>
    </row>
    <row r="592" spans="1:20" ht="15.5" hidden="1" customHeight="1">
      <c r="A592" s="78" t="s">
        <v>724</v>
      </c>
      <c r="B592" s="374" t="s">
        <v>79</v>
      </c>
      <c r="C592" s="383"/>
      <c r="D592" s="369">
        <v>45657</v>
      </c>
      <c r="E592" s="463" t="s">
        <v>396</v>
      </c>
      <c r="H592" s="67">
        <v>28576</v>
      </c>
      <c r="I592" s="477">
        <f t="shared" si="59"/>
        <v>7185.6100000000006</v>
      </c>
      <c r="J592" s="361" t="s">
        <v>527</v>
      </c>
      <c r="K592">
        <v>6110</v>
      </c>
      <c r="L592" s="74" t="str">
        <f>VLOOKUP($J592,'2 CODIFICATION'!A$5:B$21,2,"FAUX")</f>
        <v>TOILETTES ECOSAN</v>
      </c>
      <c r="M592" s="74" t="str">
        <f>VLOOKUP($K592,'2 CODIFICATION'!D$8:E$64,2,"FAUX")</f>
        <v>Sous traitance projet</v>
      </c>
      <c r="N592" s="85">
        <f t="shared" si="60"/>
        <v>611000</v>
      </c>
      <c r="O592" s="206">
        <f t="shared" si="61"/>
        <v>-28576</v>
      </c>
      <c r="P592" s="84">
        <f t="shared" si="58"/>
        <v>2024</v>
      </c>
      <c r="Q592" s="11" t="str">
        <f>VLOOKUP($N592,'2 CODIFICATION'!$G$5:$L$71,3,FALSE)</f>
        <v xml:space="preserve">Sous-traitance générale </v>
      </c>
      <c r="R592" s="53" t="str">
        <f>VLOOKUP($N592,'2 CODIFICATION'!$G$5:$L$71,4,FALSE)</f>
        <v>chges</v>
      </c>
      <c r="S592" s="53">
        <f>VLOOKUP($N592,'2 CODIFICATION'!$G$5:$L$71,5,FALSE)</f>
        <v>61</v>
      </c>
      <c r="T592" s="11" t="str">
        <f>VLOOKUP($N592,'2 CODIFICATION'!$G$5:$L$71,6,FALSE)</f>
        <v>Services extérieurs</v>
      </c>
    </row>
    <row r="593" spans="1:20" ht="15.5" hidden="1" customHeight="1">
      <c r="A593" s="78" t="s">
        <v>724</v>
      </c>
      <c r="B593" s="374" t="s">
        <v>79</v>
      </c>
      <c r="C593" s="383"/>
      <c r="D593" s="369">
        <v>45657</v>
      </c>
      <c r="E593" s="463" t="s">
        <v>409</v>
      </c>
      <c r="H593" s="730">
        <v>1333.626</v>
      </c>
      <c r="I593" s="477">
        <f t="shared" si="59"/>
        <v>5851.9840000000004</v>
      </c>
      <c r="J593" s="361" t="s">
        <v>527</v>
      </c>
      <c r="K593">
        <v>6230</v>
      </c>
      <c r="L593" s="74" t="str">
        <f>VLOOKUP($J593,'2 CODIFICATION'!A$5:B$21,2,"FAUX")</f>
        <v>TOILETTES ECOSAN</v>
      </c>
      <c r="M593" s="74" t="str">
        <f>VLOOKUP($K593,'2 CODIFICATION'!D$8:E$64,2,"FAUX")</f>
        <v>communication</v>
      </c>
      <c r="N593" s="85">
        <f t="shared" si="60"/>
        <v>623000</v>
      </c>
      <c r="O593" s="206">
        <f t="shared" si="61"/>
        <v>-1333.626</v>
      </c>
      <c r="P593" s="84">
        <f t="shared" si="58"/>
        <v>2024</v>
      </c>
      <c r="Q593" s="11" t="str">
        <f>VLOOKUP($N593,'2 CODIFICATION'!$G$5:$L$71,3,FALSE)</f>
        <v>Publicité, publications, Création de site web</v>
      </c>
      <c r="R593" s="53" t="str">
        <f>VLOOKUP($N593,'2 CODIFICATION'!$G$5:$L$71,4,FALSE)</f>
        <v>chges</v>
      </c>
      <c r="S593" s="53">
        <f>VLOOKUP($N593,'2 CODIFICATION'!$G$5:$L$71,5,FALSE)</f>
        <v>62</v>
      </c>
      <c r="T593" s="11" t="str">
        <f>VLOOKUP($N593,'2 CODIFICATION'!$G$5:$L$71,6,FALSE)</f>
        <v>Autres services extérieurs</v>
      </c>
    </row>
    <row r="594" spans="1:20" ht="15.5" hidden="1" customHeight="1">
      <c r="A594" s="78" t="s">
        <v>724</v>
      </c>
      <c r="B594" s="374" t="s">
        <v>79</v>
      </c>
      <c r="C594" s="383"/>
      <c r="D594" s="369">
        <v>45657</v>
      </c>
      <c r="E594" s="463" t="s">
        <v>313</v>
      </c>
      <c r="H594" s="67">
        <v>5583.14</v>
      </c>
      <c r="I594" s="477">
        <f t="shared" si="59"/>
        <v>268.84400000000005</v>
      </c>
      <c r="J594" s="361" t="s">
        <v>527</v>
      </c>
      <c r="K594">
        <v>6250</v>
      </c>
      <c r="L594" s="74" t="str">
        <f>VLOOKUP($J594,'2 CODIFICATION'!A$5:B$21,2,"FAUX")</f>
        <v>TOILETTES ECOSAN</v>
      </c>
      <c r="M594" s="74" t="str">
        <f>VLOOKUP($K594,'2 CODIFICATION'!D$8:E$64,2,"FAUX")</f>
        <v>déplacements</v>
      </c>
      <c r="N594" s="85">
        <f t="shared" si="60"/>
        <v>625000</v>
      </c>
      <c r="O594" s="206">
        <f t="shared" si="61"/>
        <v>-5583.14</v>
      </c>
      <c r="P594" s="84">
        <f t="shared" si="58"/>
        <v>2024</v>
      </c>
      <c r="Q594" s="11" t="str">
        <f>VLOOKUP($N594,'2 CODIFICATION'!$G$5:$L$71,3,FALSE)</f>
        <v>Déplacements, missions et réceptions</v>
      </c>
      <c r="R594" s="53" t="str">
        <f>VLOOKUP($N594,'2 CODIFICATION'!$G$5:$L$71,4,FALSE)</f>
        <v>chges</v>
      </c>
      <c r="S594" s="53">
        <f>VLOOKUP($N594,'2 CODIFICATION'!$G$5:$L$71,5,FALSE)</f>
        <v>62</v>
      </c>
      <c r="T594" s="11" t="str">
        <f>VLOOKUP($N594,'2 CODIFICATION'!$G$5:$L$71,6,FALSE)</f>
        <v>Autres services extérieurs</v>
      </c>
    </row>
    <row r="595" spans="1:20" ht="15.5" hidden="1" customHeight="1">
      <c r="A595" s="78" t="s">
        <v>724</v>
      </c>
      <c r="B595" s="374" t="s">
        <v>79</v>
      </c>
      <c r="C595" s="383"/>
      <c r="D595" s="369">
        <v>45657</v>
      </c>
      <c r="E595" s="463" t="s">
        <v>280</v>
      </c>
      <c r="H595" s="67">
        <v>1379.2</v>
      </c>
      <c r="I595" s="477">
        <f t="shared" si="59"/>
        <v>-1110.356</v>
      </c>
      <c r="J595" s="361" t="s">
        <v>527</v>
      </c>
      <c r="K595">
        <v>6261</v>
      </c>
      <c r="L595" s="74" t="str">
        <f>VLOOKUP($J595,'2 CODIFICATION'!A$5:B$21,2,"FAUX")</f>
        <v>TOILETTES ECOSAN</v>
      </c>
      <c r="M595" s="74" t="str">
        <f>VLOOKUP($K595,'2 CODIFICATION'!D$8:E$64,2,"FAUX")</f>
        <v>Frais d'envoi</v>
      </c>
      <c r="N595" s="85">
        <f t="shared" si="60"/>
        <v>626100</v>
      </c>
      <c r="O595" s="206">
        <f t="shared" si="61"/>
        <v>-1379.2</v>
      </c>
      <c r="P595" s="84">
        <f t="shared" si="58"/>
        <v>2024</v>
      </c>
      <c r="Q595" s="11" t="str">
        <f>VLOOKUP($N595,'2 CODIFICATION'!$G$5:$L$71,3,FALSE)</f>
        <v>Frais postaux</v>
      </c>
      <c r="R595" s="53" t="str">
        <f>VLOOKUP($N595,'2 CODIFICATION'!$G$5:$L$71,4,FALSE)</f>
        <v>chges</v>
      </c>
      <c r="S595" s="53">
        <f>VLOOKUP($N595,'2 CODIFICATION'!$G$5:$L$71,5,FALSE)</f>
        <v>62</v>
      </c>
      <c r="T595" s="11" t="str">
        <f>VLOOKUP($N595,'2 CODIFICATION'!$G$5:$L$71,6,FALSE)</f>
        <v>Autres services extérieurs</v>
      </c>
    </row>
    <row r="596" spans="1:20" hidden="1">
      <c r="A596" s="201" t="s">
        <v>724</v>
      </c>
      <c r="B596" s="508" t="s">
        <v>79</v>
      </c>
      <c r="D596" s="509">
        <v>45296</v>
      </c>
      <c r="E596" s="510" t="s">
        <v>603</v>
      </c>
      <c r="G596" s="511"/>
      <c r="H596" s="511">
        <v>116.1</v>
      </c>
      <c r="I596" s="477">
        <f t="shared" si="59"/>
        <v>-1226.4559999999999</v>
      </c>
      <c r="J596" s="466" t="s">
        <v>273</v>
      </c>
      <c r="K596" s="20">
        <v>6160</v>
      </c>
      <c r="L596" s="74" t="s">
        <v>404</v>
      </c>
      <c r="M596" s="74" t="str">
        <f>VLOOKUP($K596,'2 CODIFICATION'!D$8:E$64,2,"FAUX")</f>
        <v>Assurance RC</v>
      </c>
      <c r="N596" s="74">
        <f t="shared" ref="N596:N659" si="62">+K596*100</f>
        <v>616000</v>
      </c>
      <c r="O596" s="206">
        <f>+G596-H596</f>
        <v>-116.1</v>
      </c>
      <c r="P596" s="74">
        <f t="shared" si="58"/>
        <v>2024</v>
      </c>
      <c r="Q596" s="270" t="str">
        <f>VLOOKUP($N596,'2 CODIFICATION'!$G$5:$L$71,3,FALSE)</f>
        <v>Primes d'assurance</v>
      </c>
      <c r="R596" s="271" t="str">
        <f>VLOOKUP($N596,'2 CODIFICATION'!$G$5:$L$71,4,FALSE)</f>
        <v>chges</v>
      </c>
      <c r="S596" s="271">
        <f>VLOOKUP($N596,'2 CODIFICATION'!$G$5:$L$71,5,FALSE)</f>
        <v>61</v>
      </c>
      <c r="T596" s="270" t="str">
        <f>VLOOKUP($N596,'2 CODIFICATION'!$G$5:$L$71,6,FALSE)</f>
        <v>Services extérieurs</v>
      </c>
    </row>
    <row r="597" spans="1:20" hidden="1">
      <c r="A597" s="201" t="s">
        <v>724</v>
      </c>
      <c r="B597" s="508" t="s">
        <v>79</v>
      </c>
      <c r="D597" s="509">
        <v>45331</v>
      </c>
      <c r="E597" s="541" t="s">
        <v>617</v>
      </c>
      <c r="G597" s="788">
        <v>2045</v>
      </c>
      <c r="H597" s="511"/>
      <c r="I597" s="477">
        <f t="shared" si="59"/>
        <v>818.5440000000001</v>
      </c>
      <c r="J597" s="466" t="s">
        <v>273</v>
      </c>
      <c r="K597" s="20">
        <v>7771</v>
      </c>
      <c r="L597" s="74" t="s">
        <v>404</v>
      </c>
      <c r="M597" s="74" t="str">
        <f>VLOOKUP($K597,'2 CODIFICATION'!D$8:E$64,2,"FAUX")</f>
        <v>Dons et participations à l"association</v>
      </c>
      <c r="N597" s="74">
        <f t="shared" si="62"/>
        <v>777100</v>
      </c>
      <c r="O597" s="206">
        <f>+G597-H597</f>
        <v>2045</v>
      </c>
      <c r="P597" s="74">
        <f t="shared" si="58"/>
        <v>2024</v>
      </c>
      <c r="Q597" s="270" t="str">
        <f>VLOOKUP($N597,'2 CODIFICATION'!$G$5:$L$71,3,FALSE)</f>
        <v>Dons et autres mises à dispositions gratuites</v>
      </c>
      <c r="R597" s="271" t="str">
        <f>VLOOKUP($N597,'2 CODIFICATION'!$G$5:$L$71,4,FALSE)</f>
        <v>pdts</v>
      </c>
      <c r="S597" s="271">
        <f>VLOOKUP($N597,'2 CODIFICATION'!$G$5:$L$71,5,FALSE)</f>
        <v>77</v>
      </c>
      <c r="T597" s="270" t="str">
        <f>VLOOKUP($N597,'2 CODIFICATION'!$G$5:$L$71,6,FALSE)</f>
        <v>Produits exceptionnels</v>
      </c>
    </row>
    <row r="598" spans="1:20" hidden="1">
      <c r="A598" s="201" t="s">
        <v>724</v>
      </c>
      <c r="B598" s="508" t="s">
        <v>79</v>
      </c>
      <c r="D598" s="509">
        <v>45374</v>
      </c>
      <c r="E598" s="510" t="s">
        <v>600</v>
      </c>
      <c r="G598" s="511"/>
      <c r="H598" s="542">
        <v>255.96</v>
      </c>
      <c r="I598" s="477">
        <f t="shared" si="59"/>
        <v>562.58400000000006</v>
      </c>
      <c r="J598" s="466" t="s">
        <v>273</v>
      </c>
      <c r="K598" s="20">
        <v>6230</v>
      </c>
      <c r="L598" s="74" t="s">
        <v>404</v>
      </c>
      <c r="M598" s="74" t="str">
        <f>VLOOKUP($K598,'2 CODIFICATION'!D$8:E$64,2,"FAUX")</f>
        <v>communication</v>
      </c>
      <c r="N598" s="74">
        <f t="shared" si="62"/>
        <v>623000</v>
      </c>
      <c r="O598" s="206">
        <f t="shared" ref="O598:O631" si="63">+G598-H598</f>
        <v>-255.96</v>
      </c>
      <c r="P598" s="74">
        <f t="shared" si="58"/>
        <v>2024</v>
      </c>
      <c r="Q598" s="270" t="str">
        <f>VLOOKUP($N598,'2 CODIFICATION'!$G$5:$L$71,3,FALSE)</f>
        <v>Publicité, publications, Création de site web</v>
      </c>
      <c r="R598" s="271" t="str">
        <f>VLOOKUP($N598,'2 CODIFICATION'!$G$5:$L$71,4,FALSE)</f>
        <v>chges</v>
      </c>
      <c r="S598" s="271">
        <f>VLOOKUP($N598,'2 CODIFICATION'!$G$5:$L$71,5,FALSE)</f>
        <v>62</v>
      </c>
      <c r="T598" s="270" t="str">
        <f>VLOOKUP($N598,'2 CODIFICATION'!$G$5:$L$71,6,FALSE)</f>
        <v>Autres services extérieurs</v>
      </c>
    </row>
    <row r="599" spans="1:20" hidden="1">
      <c r="A599" s="201" t="s">
        <v>724</v>
      </c>
      <c r="B599" s="508" t="s">
        <v>79</v>
      </c>
      <c r="D599" s="509">
        <v>45385</v>
      </c>
      <c r="E599" s="549" t="s">
        <v>618</v>
      </c>
      <c r="G599" s="788">
        <v>350</v>
      </c>
      <c r="H599" s="511"/>
      <c r="I599" s="477">
        <f t="shared" si="59"/>
        <v>912.58400000000006</v>
      </c>
      <c r="J599" s="466" t="s">
        <v>273</v>
      </c>
      <c r="K599" s="20">
        <v>7581</v>
      </c>
      <c r="L599" s="74" t="s">
        <v>404</v>
      </c>
      <c r="M599" s="74" t="str">
        <f>VLOOKUP($K599,'2 CODIFICATION'!D$8:E$64,2,"FAUX")</f>
        <v>Adhésions association</v>
      </c>
      <c r="N599" s="74">
        <f t="shared" si="62"/>
        <v>758100</v>
      </c>
      <c r="O599" s="206">
        <f t="shared" si="63"/>
        <v>350</v>
      </c>
      <c r="P599" s="74">
        <f t="shared" si="58"/>
        <v>2024</v>
      </c>
      <c r="Q599" s="270" t="str">
        <f>VLOOKUP($N599,'2 CODIFICATION'!$G$5:$L$71,3,FALSE)</f>
        <v>Cotisations individuelles et associatives</v>
      </c>
      <c r="R599" s="271" t="str">
        <f>VLOOKUP($N599,'2 CODIFICATION'!$G$5:$L$71,4,FALSE)</f>
        <v>pdts</v>
      </c>
      <c r="S599" s="271">
        <f>VLOOKUP($N599,'2 CODIFICATION'!$G$5:$L$71,5,FALSE)</f>
        <v>75</v>
      </c>
      <c r="T599" s="270" t="str">
        <f>VLOOKUP($N599,'2 CODIFICATION'!$G$5:$L$71,6,FALSE)</f>
        <v>Autres produits de gestion courante</v>
      </c>
    </row>
    <row r="600" spans="1:20" hidden="1">
      <c r="A600" s="201" t="s">
        <v>724</v>
      </c>
      <c r="B600" s="508" t="s">
        <v>79</v>
      </c>
      <c r="D600" s="509">
        <v>45385</v>
      </c>
      <c r="E600" s="549" t="s">
        <v>619</v>
      </c>
      <c r="G600" s="542">
        <v>50</v>
      </c>
      <c r="H600" s="511"/>
      <c r="I600" s="477">
        <f t="shared" si="59"/>
        <v>962.58400000000006</v>
      </c>
      <c r="J600" s="466" t="s">
        <v>273</v>
      </c>
      <c r="K600" s="20">
        <v>7581</v>
      </c>
      <c r="L600" s="74" t="s">
        <v>404</v>
      </c>
      <c r="M600" s="74" t="str">
        <f>VLOOKUP($K600,'2 CODIFICATION'!D$8:E$64,2,"FAUX")</f>
        <v>Adhésions association</v>
      </c>
      <c r="N600" s="74">
        <f t="shared" si="62"/>
        <v>758100</v>
      </c>
      <c r="O600" s="206">
        <f t="shared" si="63"/>
        <v>50</v>
      </c>
      <c r="P600" s="74">
        <f t="shared" si="58"/>
        <v>2024</v>
      </c>
      <c r="Q600" s="270" t="str">
        <f>VLOOKUP($N600,'2 CODIFICATION'!$G$5:$L$71,3,FALSE)</f>
        <v>Cotisations individuelles et associatives</v>
      </c>
      <c r="R600" s="271" t="str">
        <f>VLOOKUP($N600,'2 CODIFICATION'!$G$5:$L$71,4,FALSE)</f>
        <v>pdts</v>
      </c>
      <c r="S600" s="271">
        <f>VLOOKUP($N600,'2 CODIFICATION'!$G$5:$L$71,5,FALSE)</f>
        <v>75</v>
      </c>
      <c r="T600" s="270" t="str">
        <f>VLOOKUP($N600,'2 CODIFICATION'!$G$5:$L$71,6,FALSE)</f>
        <v>Autres produits de gestion courante</v>
      </c>
    </row>
    <row r="601" spans="1:20" hidden="1">
      <c r="A601" s="201" t="s">
        <v>724</v>
      </c>
      <c r="B601" s="508" t="s">
        <v>79</v>
      </c>
      <c r="D601" s="509">
        <v>45395</v>
      </c>
      <c r="E601" s="541" t="s">
        <v>609</v>
      </c>
      <c r="G601" s="542">
        <v>50</v>
      </c>
      <c r="H601" s="511"/>
      <c r="I601" s="477">
        <f t="shared" si="59"/>
        <v>1012.5840000000001</v>
      </c>
      <c r="J601" s="466" t="s">
        <v>273</v>
      </c>
      <c r="K601" s="20">
        <v>7771</v>
      </c>
      <c r="L601" s="74" t="s">
        <v>404</v>
      </c>
      <c r="M601" s="74" t="str">
        <f>VLOOKUP($K601,'2 CODIFICATION'!D$8:E$64,2,"FAUX")</f>
        <v>Dons et participations à l"association</v>
      </c>
      <c r="N601" s="74">
        <f t="shared" si="62"/>
        <v>777100</v>
      </c>
      <c r="O601" s="206">
        <f t="shared" si="63"/>
        <v>50</v>
      </c>
      <c r="P601" s="74">
        <f t="shared" si="58"/>
        <v>2024</v>
      </c>
      <c r="Q601" s="270" t="str">
        <f>VLOOKUP($N601,'2 CODIFICATION'!$G$5:$L$71,3,FALSE)</f>
        <v>Dons et autres mises à dispositions gratuites</v>
      </c>
      <c r="R601" s="271" t="str">
        <f>VLOOKUP($N601,'2 CODIFICATION'!$G$5:$L$71,4,FALSE)</f>
        <v>pdts</v>
      </c>
      <c r="S601" s="271">
        <f>VLOOKUP($N601,'2 CODIFICATION'!$G$5:$L$71,5,FALSE)</f>
        <v>77</v>
      </c>
      <c r="T601" s="270" t="str">
        <f>VLOOKUP($N601,'2 CODIFICATION'!$G$5:$L$71,6,FALSE)</f>
        <v>Produits exceptionnels</v>
      </c>
    </row>
    <row r="602" spans="1:20" s="61" customFormat="1" hidden="1">
      <c r="A602" s="78" t="s">
        <v>722</v>
      </c>
      <c r="B602" s="919" t="s">
        <v>79</v>
      </c>
      <c r="D602" s="369">
        <v>45291</v>
      </c>
      <c r="E602" s="877" t="s">
        <v>849</v>
      </c>
      <c r="G602" s="920"/>
      <c r="H602" s="878"/>
      <c r="I602" s="472">
        <f t="shared" si="59"/>
        <v>1012.5840000000001</v>
      </c>
      <c r="J602" s="386" t="s">
        <v>527</v>
      </c>
      <c r="K602" s="20">
        <f>+N602/100</f>
        <v>6261</v>
      </c>
      <c r="L602" s="74" t="str">
        <f>VLOOKUP($J602,'2 CODIFICATION'!A$5:B$21,2,"FAUX")</f>
        <v>TOILETTES ECOSAN</v>
      </c>
      <c r="M602" s="20" t="str">
        <f>VLOOKUP($K602,'2 CODIFICATION'!D$8:E$64,2,"FAUX")</f>
        <v>Frais d'envoi</v>
      </c>
      <c r="N602" s="74">
        <v>626100</v>
      </c>
      <c r="O602" s="160">
        <f>+G602-H602</f>
        <v>0</v>
      </c>
      <c r="P602" s="20">
        <f>YEAR(D602)</f>
        <v>2023</v>
      </c>
      <c r="Q602" s="921" t="str">
        <f>VLOOKUP($N602,'2 CODIFICATION'!$G$5:$L$71,3,FALSE)</f>
        <v>Frais postaux</v>
      </c>
      <c r="R602" s="922" t="str">
        <f>VLOOKUP($N602,'2 CODIFICATION'!$G$5:$L$71,4,FALSE)</f>
        <v>chges</v>
      </c>
      <c r="S602" s="922">
        <f>VLOOKUP($N602,'2 CODIFICATION'!$G$5:$L$71,5,FALSE)</f>
        <v>62</v>
      </c>
      <c r="T602" s="921" t="str">
        <f>VLOOKUP($N602,'2 CODIFICATION'!$G$5:$L$71,6,FALSE)</f>
        <v>Autres services extérieurs</v>
      </c>
    </row>
    <row r="603" spans="1:20" hidden="1">
      <c r="A603" s="201" t="s">
        <v>724</v>
      </c>
      <c r="B603" s="508" t="s">
        <v>79</v>
      </c>
      <c r="D603" s="509">
        <v>45401</v>
      </c>
      <c r="E603" s="541" t="s">
        <v>610</v>
      </c>
      <c r="G603" s="542">
        <v>300</v>
      </c>
      <c r="H603" s="511"/>
      <c r="I603" s="477">
        <f t="shared" si="59"/>
        <v>1312.5840000000001</v>
      </c>
      <c r="J603" s="466" t="s">
        <v>273</v>
      </c>
      <c r="K603" s="20">
        <v>7581</v>
      </c>
      <c r="L603" s="74" t="s">
        <v>404</v>
      </c>
      <c r="M603" s="74" t="str">
        <f>VLOOKUP($K603,'2 CODIFICATION'!D$8:E$64,2,"FAUX")</f>
        <v>Adhésions association</v>
      </c>
      <c r="N603" s="74">
        <f t="shared" si="62"/>
        <v>758100</v>
      </c>
      <c r="O603" s="206">
        <f t="shared" si="63"/>
        <v>300</v>
      </c>
      <c r="P603" s="74">
        <f t="shared" si="58"/>
        <v>2024</v>
      </c>
      <c r="Q603" s="270" t="str">
        <f>VLOOKUP($N603,'2 CODIFICATION'!$G$5:$L$71,3,FALSE)</f>
        <v>Cotisations individuelles et associatives</v>
      </c>
      <c r="R603" s="271" t="str">
        <f>VLOOKUP($N603,'2 CODIFICATION'!$G$5:$L$71,4,FALSE)</f>
        <v>pdts</v>
      </c>
      <c r="S603" s="271">
        <f>VLOOKUP($N603,'2 CODIFICATION'!$G$5:$L$71,5,FALSE)</f>
        <v>75</v>
      </c>
      <c r="T603" s="270" t="str">
        <f>VLOOKUP($N603,'2 CODIFICATION'!$G$5:$L$71,6,FALSE)</f>
        <v>Autres produits de gestion courante</v>
      </c>
    </row>
    <row r="604" spans="1:20" hidden="1">
      <c r="A604" s="201" t="s">
        <v>724</v>
      </c>
      <c r="B604" s="508" t="s">
        <v>79</v>
      </c>
      <c r="D604" s="509">
        <v>45421</v>
      </c>
      <c r="E604" s="510" t="s">
        <v>604</v>
      </c>
      <c r="G604" s="511"/>
      <c r="H604" s="511">
        <v>63.99</v>
      </c>
      <c r="I604" s="477">
        <f t="shared" si="59"/>
        <v>1248.5940000000001</v>
      </c>
      <c r="J604" s="466" t="s">
        <v>273</v>
      </c>
      <c r="K604" s="20">
        <v>6230</v>
      </c>
      <c r="L604" s="74" t="s">
        <v>404</v>
      </c>
      <c r="M604" s="74" t="str">
        <f>VLOOKUP($K604,'2 CODIFICATION'!D$8:E$64,2,"FAUX")</f>
        <v>communication</v>
      </c>
      <c r="N604" s="74">
        <f t="shared" si="62"/>
        <v>623000</v>
      </c>
      <c r="O604" s="206">
        <f t="shared" si="63"/>
        <v>-63.99</v>
      </c>
      <c r="P604" s="74">
        <f t="shared" si="58"/>
        <v>2024</v>
      </c>
      <c r="Q604" s="270" t="str">
        <f>VLOOKUP($N604,'2 CODIFICATION'!$G$5:$L$71,3,FALSE)</f>
        <v>Publicité, publications, Création de site web</v>
      </c>
      <c r="R604" s="271" t="str">
        <f>VLOOKUP($N604,'2 CODIFICATION'!$G$5:$L$71,4,FALSE)</f>
        <v>chges</v>
      </c>
      <c r="S604" s="271">
        <f>VLOOKUP($N604,'2 CODIFICATION'!$G$5:$L$71,5,FALSE)</f>
        <v>62</v>
      </c>
      <c r="T604" s="270" t="str">
        <f>VLOOKUP($N604,'2 CODIFICATION'!$G$5:$L$71,6,FALSE)</f>
        <v>Autres services extérieurs</v>
      </c>
    </row>
    <row r="605" spans="1:20" hidden="1">
      <c r="A605" s="201" t="s">
        <v>724</v>
      </c>
      <c r="B605" s="508" t="s">
        <v>79</v>
      </c>
      <c r="D605" s="509">
        <v>45428</v>
      </c>
      <c r="E605" s="510" t="s">
        <v>602</v>
      </c>
      <c r="G605" s="511"/>
      <c r="H605" s="511">
        <v>50</v>
      </c>
      <c r="I605" s="477">
        <f t="shared" si="59"/>
        <v>1198.5940000000001</v>
      </c>
      <c r="J605" s="466" t="s">
        <v>273</v>
      </c>
      <c r="K605" s="20">
        <v>6281</v>
      </c>
      <c r="L605" s="74" t="s">
        <v>404</v>
      </c>
      <c r="M605" s="74" t="str">
        <f>VLOOKUP($K605,'2 CODIFICATION'!D$8:E$64,2,"FAUX")</f>
        <v>adhésion Hellasso+ autres</v>
      </c>
      <c r="N605" s="74">
        <f t="shared" si="62"/>
        <v>628100</v>
      </c>
      <c r="O605" s="206">
        <f t="shared" si="63"/>
        <v>-50</v>
      </c>
      <c r="P605" s="74">
        <f t="shared" si="58"/>
        <v>2024</v>
      </c>
      <c r="Q605" s="270" t="str">
        <f>VLOOKUP($N605,'2 CODIFICATION'!$G$5:$L$71,3,FALSE)</f>
        <v>adhesion Hellasso</v>
      </c>
      <c r="R605" s="271" t="str">
        <f>VLOOKUP($N605,'2 CODIFICATION'!$G$5:$L$71,4,FALSE)</f>
        <v>chges</v>
      </c>
      <c r="S605" s="271">
        <f>VLOOKUP($N605,'2 CODIFICATION'!$G$5:$L$71,5,FALSE)</f>
        <v>62</v>
      </c>
      <c r="T605" s="270" t="str">
        <f>VLOOKUP($N605,'2 CODIFICATION'!$G$5:$L$71,6,FALSE)</f>
        <v>Autres services extérieurs</v>
      </c>
    </row>
    <row r="606" spans="1:20" hidden="1">
      <c r="A606" s="201" t="s">
        <v>724</v>
      </c>
      <c r="B606" s="508" t="s">
        <v>79</v>
      </c>
      <c r="D606" s="509">
        <v>45428</v>
      </c>
      <c r="E606" s="510" t="s">
        <v>730</v>
      </c>
      <c r="G606" s="511">
        <v>0.34</v>
      </c>
      <c r="H606" s="511"/>
      <c r="I606" s="477">
        <f t="shared" si="59"/>
        <v>1198.934</v>
      </c>
      <c r="J606" s="466" t="s">
        <v>273</v>
      </c>
      <c r="K606" s="20">
        <v>7660</v>
      </c>
      <c r="L606" s="74" t="s">
        <v>404</v>
      </c>
      <c r="M606" s="74" t="str">
        <f>VLOOKUP($K606,'2 CODIFICATION'!D$8:E$64,2,"FAUX")</f>
        <v>Produits financiers</v>
      </c>
      <c r="N606" s="74">
        <f t="shared" si="62"/>
        <v>766000</v>
      </c>
      <c r="O606" s="206">
        <f t="shared" si="63"/>
        <v>0.34</v>
      </c>
      <c r="P606" s="74">
        <f t="shared" si="58"/>
        <v>2024</v>
      </c>
      <c r="Q606" s="270" t="str">
        <f>VLOOKUP($N606,'2 CODIFICATION'!$G$5:$L$71,3,FALSE)</f>
        <v>Produits financiers</v>
      </c>
      <c r="R606" s="271" t="str">
        <f>VLOOKUP($N606,'2 CODIFICATION'!$G$5:$L$71,4,FALSE)</f>
        <v>pdts</v>
      </c>
      <c r="S606" s="271">
        <f>VLOOKUP($N606,'2 CODIFICATION'!$G$5:$L$71,5,FALSE)</f>
        <v>76</v>
      </c>
      <c r="T606" s="270" t="str">
        <f>VLOOKUP($N606,'2 CODIFICATION'!$G$5:$L$71,6,FALSE)</f>
        <v>Produits exceptionnels</v>
      </c>
    </row>
    <row r="607" spans="1:20" hidden="1">
      <c r="A607" s="201" t="s">
        <v>724</v>
      </c>
      <c r="B607" s="508" t="s">
        <v>79</v>
      </c>
      <c r="D607" s="509">
        <v>45443</v>
      </c>
      <c r="E607" s="510" t="s">
        <v>606</v>
      </c>
      <c r="G607" s="511"/>
      <c r="H607" s="511">
        <v>65.989999999999995</v>
      </c>
      <c r="I607" s="477">
        <f t="shared" si="59"/>
        <v>1132.944</v>
      </c>
      <c r="J607" s="466" t="s">
        <v>273</v>
      </c>
      <c r="K607" s="20">
        <v>6230</v>
      </c>
      <c r="L607" s="74" t="s">
        <v>404</v>
      </c>
      <c r="M607" s="74" t="str">
        <f>VLOOKUP($K607,'2 CODIFICATION'!D$8:E$64,2,"FAUX")</f>
        <v>communication</v>
      </c>
      <c r="N607" s="74">
        <f t="shared" si="62"/>
        <v>623000</v>
      </c>
      <c r="O607" s="206">
        <f t="shared" si="63"/>
        <v>-65.989999999999995</v>
      </c>
      <c r="P607" s="74">
        <f t="shared" si="58"/>
        <v>2024</v>
      </c>
      <c r="Q607" s="270" t="str">
        <f>VLOOKUP($N607,'2 CODIFICATION'!$G$5:$L$71,3,FALSE)</f>
        <v>Publicité, publications, Création de site web</v>
      </c>
      <c r="R607" s="271" t="str">
        <f>VLOOKUP($N607,'2 CODIFICATION'!$G$5:$L$71,4,FALSE)</f>
        <v>chges</v>
      </c>
      <c r="S607" s="271">
        <f>VLOOKUP($N607,'2 CODIFICATION'!$G$5:$L$71,5,FALSE)</f>
        <v>62</v>
      </c>
      <c r="T607" s="270" t="str">
        <f>VLOOKUP($N607,'2 CODIFICATION'!$G$5:$L$71,6,FALSE)</f>
        <v>Autres services extérieurs</v>
      </c>
    </row>
    <row r="608" spans="1:20" hidden="1">
      <c r="A608" s="201" t="s">
        <v>724</v>
      </c>
      <c r="B608" s="508" t="s">
        <v>79</v>
      </c>
      <c r="D608" s="509">
        <v>45448</v>
      </c>
      <c r="E608" s="510" t="s">
        <v>605</v>
      </c>
      <c r="G608" s="511"/>
      <c r="H608" s="511">
        <v>73.09</v>
      </c>
      <c r="I608" s="477">
        <f t="shared" si="59"/>
        <v>1059.854</v>
      </c>
      <c r="J608" s="466" t="s">
        <v>273</v>
      </c>
      <c r="K608" s="20">
        <v>6064</v>
      </c>
      <c r="L608" s="74" t="s">
        <v>404</v>
      </c>
      <c r="M608" s="74" t="str">
        <f>VLOOKUP($K608,'2 CODIFICATION'!D$8:E$64,2,"FAUX")</f>
        <v>Frais de fonctionnement et fourniture</v>
      </c>
      <c r="N608" s="74">
        <f t="shared" si="62"/>
        <v>606400</v>
      </c>
      <c r="O608" s="206">
        <f t="shared" si="63"/>
        <v>-73.09</v>
      </c>
      <c r="P608" s="74">
        <f t="shared" si="58"/>
        <v>2024</v>
      </c>
      <c r="Q608" s="270" t="str">
        <f>VLOOKUP($N608,'2 CODIFICATION'!$G$5:$L$71,3,FALSE)</f>
        <v>Fournitures administratives</v>
      </c>
      <c r="R608" s="271" t="str">
        <f>VLOOKUP($N608,'2 CODIFICATION'!$G$5:$L$71,4,FALSE)</f>
        <v>chges</v>
      </c>
      <c r="S608" s="271">
        <f>VLOOKUP($N608,'2 CODIFICATION'!$G$5:$L$71,5,FALSE)</f>
        <v>60</v>
      </c>
      <c r="T608" s="270" t="str">
        <f>VLOOKUP($N608,'2 CODIFICATION'!$G$5:$L$71,6,FALSE)</f>
        <v>Achat</v>
      </c>
    </row>
    <row r="609" spans="1:20" hidden="1">
      <c r="A609" s="201" t="s">
        <v>724</v>
      </c>
      <c r="B609" s="508" t="s">
        <v>79</v>
      </c>
      <c r="D609" s="509">
        <v>45456</v>
      </c>
      <c r="E609" s="510" t="s">
        <v>615</v>
      </c>
      <c r="G609" s="542">
        <v>100</v>
      </c>
      <c r="H609" s="511"/>
      <c r="I609" s="477">
        <f t="shared" si="59"/>
        <v>1159.854</v>
      </c>
      <c r="J609" s="466" t="s">
        <v>273</v>
      </c>
      <c r="K609" s="20">
        <v>7581</v>
      </c>
      <c r="L609" s="74" t="s">
        <v>404</v>
      </c>
      <c r="M609" s="74" t="str">
        <f>VLOOKUP($K609,'2 CODIFICATION'!D$8:E$64,2,"FAUX")</f>
        <v>Adhésions association</v>
      </c>
      <c r="N609" s="74">
        <f t="shared" si="62"/>
        <v>758100</v>
      </c>
      <c r="O609" s="206">
        <f t="shared" si="63"/>
        <v>100</v>
      </c>
      <c r="P609" s="74">
        <f t="shared" si="58"/>
        <v>2024</v>
      </c>
      <c r="Q609" s="270" t="str">
        <f>VLOOKUP($N609,'2 CODIFICATION'!$G$5:$L$71,3,FALSE)</f>
        <v>Cotisations individuelles et associatives</v>
      </c>
      <c r="R609" s="271" t="str">
        <f>VLOOKUP($N609,'2 CODIFICATION'!$G$5:$L$71,4,FALSE)</f>
        <v>pdts</v>
      </c>
      <c r="S609" s="271">
        <f>VLOOKUP($N609,'2 CODIFICATION'!$G$5:$L$71,5,FALSE)</f>
        <v>75</v>
      </c>
      <c r="T609" s="270" t="str">
        <f>VLOOKUP($N609,'2 CODIFICATION'!$G$5:$L$71,6,FALSE)</f>
        <v>Autres produits de gestion courante</v>
      </c>
    </row>
    <row r="610" spans="1:20" hidden="1">
      <c r="A610" s="201" t="s">
        <v>724</v>
      </c>
      <c r="B610" s="508" t="s">
        <v>79</v>
      </c>
      <c r="D610" s="509">
        <v>45459</v>
      </c>
      <c r="E610" s="549" t="s">
        <v>620</v>
      </c>
      <c r="G610" s="542">
        <v>30</v>
      </c>
      <c r="H610" s="511"/>
      <c r="I610" s="477">
        <f t="shared" si="59"/>
        <v>1189.854</v>
      </c>
      <c r="J610" s="466" t="s">
        <v>273</v>
      </c>
      <c r="K610" s="20">
        <v>7581</v>
      </c>
      <c r="L610" s="74" t="s">
        <v>404</v>
      </c>
      <c r="M610" s="74" t="str">
        <f>VLOOKUP($K610,'2 CODIFICATION'!D$8:E$64,2,"FAUX")</f>
        <v>Adhésions association</v>
      </c>
      <c r="N610" s="74">
        <f t="shared" si="62"/>
        <v>758100</v>
      </c>
      <c r="O610" s="206">
        <f t="shared" si="63"/>
        <v>30</v>
      </c>
      <c r="P610" s="74">
        <f t="shared" si="58"/>
        <v>2024</v>
      </c>
      <c r="Q610" s="270" t="str">
        <f>VLOOKUP($N610,'2 CODIFICATION'!$G$5:$L$71,3,FALSE)</f>
        <v>Cotisations individuelles et associatives</v>
      </c>
      <c r="R610" s="271" t="str">
        <f>VLOOKUP($N610,'2 CODIFICATION'!$G$5:$L$71,4,FALSE)</f>
        <v>pdts</v>
      </c>
      <c r="S610" s="271">
        <f>VLOOKUP($N610,'2 CODIFICATION'!$G$5:$L$71,5,FALSE)</f>
        <v>75</v>
      </c>
      <c r="T610" s="270" t="str">
        <f>VLOOKUP($N610,'2 CODIFICATION'!$G$5:$L$71,6,FALSE)</f>
        <v>Autres produits de gestion courante</v>
      </c>
    </row>
    <row r="611" spans="1:20" hidden="1">
      <c r="A611" s="201" t="s">
        <v>724</v>
      </c>
      <c r="B611" s="508" t="s">
        <v>79</v>
      </c>
      <c r="D611" s="509">
        <v>45459</v>
      </c>
      <c r="E611" s="549" t="s">
        <v>621</v>
      </c>
      <c r="G611" s="542">
        <v>10</v>
      </c>
      <c r="H611" s="511"/>
      <c r="I611" s="477">
        <f t="shared" si="59"/>
        <v>1199.854</v>
      </c>
      <c r="J611" s="466" t="s">
        <v>273</v>
      </c>
      <c r="K611" s="20">
        <v>7581</v>
      </c>
      <c r="L611" s="74" t="s">
        <v>404</v>
      </c>
      <c r="M611" s="74" t="str">
        <f>VLOOKUP($K611,'2 CODIFICATION'!D$8:E$64,2,"FAUX")</f>
        <v>Adhésions association</v>
      </c>
      <c r="N611" s="74">
        <f t="shared" si="62"/>
        <v>758100</v>
      </c>
      <c r="O611" s="206">
        <f t="shared" si="63"/>
        <v>10</v>
      </c>
      <c r="P611" s="74">
        <f t="shared" si="58"/>
        <v>2024</v>
      </c>
      <c r="Q611" s="270" t="str">
        <f>VLOOKUP($N611,'2 CODIFICATION'!$G$5:$L$71,3,FALSE)</f>
        <v>Cotisations individuelles et associatives</v>
      </c>
      <c r="R611" s="271" t="str">
        <f>VLOOKUP($N611,'2 CODIFICATION'!$G$5:$L$71,4,FALSE)</f>
        <v>pdts</v>
      </c>
      <c r="S611" s="271">
        <f>VLOOKUP($N611,'2 CODIFICATION'!$G$5:$L$71,5,FALSE)</f>
        <v>75</v>
      </c>
      <c r="T611" s="270" t="str">
        <f>VLOOKUP($N611,'2 CODIFICATION'!$G$5:$L$71,6,FALSE)</f>
        <v>Autres produits de gestion courante</v>
      </c>
    </row>
    <row r="612" spans="1:20" hidden="1">
      <c r="A612" s="201" t="s">
        <v>724</v>
      </c>
      <c r="B612" s="508" t="s">
        <v>79</v>
      </c>
      <c r="D612" s="509">
        <v>45476</v>
      </c>
      <c r="E612" s="510" t="s">
        <v>622</v>
      </c>
      <c r="G612" s="542">
        <v>20</v>
      </c>
      <c r="H612" s="511"/>
      <c r="I612" s="477">
        <f t="shared" si="59"/>
        <v>1219.854</v>
      </c>
      <c r="J612" s="466" t="s">
        <v>273</v>
      </c>
      <c r="K612" s="20">
        <v>7581</v>
      </c>
      <c r="L612" s="74" t="s">
        <v>404</v>
      </c>
      <c r="M612" s="74" t="str">
        <f>VLOOKUP($K612,'2 CODIFICATION'!D$8:E$64,2,"FAUX")</f>
        <v>Adhésions association</v>
      </c>
      <c r="N612" s="74">
        <f t="shared" si="62"/>
        <v>758100</v>
      </c>
      <c r="O612" s="206">
        <f t="shared" si="63"/>
        <v>20</v>
      </c>
      <c r="P612" s="74">
        <f t="shared" si="58"/>
        <v>2024</v>
      </c>
      <c r="Q612" s="270" t="str">
        <f>VLOOKUP($N612,'2 CODIFICATION'!$G$5:$L$71,3,FALSE)</f>
        <v>Cotisations individuelles et associatives</v>
      </c>
      <c r="R612" s="271" t="str">
        <f>VLOOKUP($N612,'2 CODIFICATION'!$G$5:$L$71,4,FALSE)</f>
        <v>pdts</v>
      </c>
      <c r="S612" s="271">
        <f>VLOOKUP($N612,'2 CODIFICATION'!$G$5:$L$71,5,FALSE)</f>
        <v>75</v>
      </c>
      <c r="T612" s="270" t="str">
        <f>VLOOKUP($N612,'2 CODIFICATION'!$G$5:$L$71,6,FALSE)</f>
        <v>Autres produits de gestion courante</v>
      </c>
    </row>
    <row r="613" spans="1:20" hidden="1">
      <c r="A613" s="201" t="s">
        <v>724</v>
      </c>
      <c r="B613" s="508" t="s">
        <v>79</v>
      </c>
      <c r="D613" s="509">
        <v>45480</v>
      </c>
      <c r="E613" s="541" t="s">
        <v>607</v>
      </c>
      <c r="G613" s="511"/>
      <c r="H613" s="511">
        <v>13.92</v>
      </c>
      <c r="I613" s="477">
        <f t="shared" si="59"/>
        <v>1205.934</v>
      </c>
      <c r="J613" s="466" t="s">
        <v>273</v>
      </c>
      <c r="K613" s="20">
        <v>6261</v>
      </c>
      <c r="L613" s="74" t="s">
        <v>404</v>
      </c>
      <c r="M613" s="74" t="str">
        <f>VLOOKUP($K613,'2 CODIFICATION'!D$8:E$64,2,"FAUX")</f>
        <v>Frais d'envoi</v>
      </c>
      <c r="N613" s="74">
        <f t="shared" si="62"/>
        <v>626100</v>
      </c>
      <c r="O613" s="206">
        <f t="shared" si="63"/>
        <v>-13.92</v>
      </c>
      <c r="P613" s="74">
        <f t="shared" si="58"/>
        <v>2024</v>
      </c>
      <c r="Q613" s="270" t="str">
        <f>VLOOKUP($N613,'2 CODIFICATION'!$G$5:$L$71,3,FALSE)</f>
        <v>Frais postaux</v>
      </c>
      <c r="R613" s="271" t="str">
        <f>VLOOKUP($N613,'2 CODIFICATION'!$G$5:$L$71,4,FALSE)</f>
        <v>chges</v>
      </c>
      <c r="S613" s="271">
        <f>VLOOKUP($N613,'2 CODIFICATION'!$G$5:$L$71,5,FALSE)</f>
        <v>62</v>
      </c>
      <c r="T613" s="270" t="str">
        <f>VLOOKUP($N613,'2 CODIFICATION'!$G$5:$L$71,6,FALSE)</f>
        <v>Autres services extérieurs</v>
      </c>
    </row>
    <row r="614" spans="1:20" hidden="1">
      <c r="A614" s="201" t="s">
        <v>724</v>
      </c>
      <c r="B614" s="508" t="s">
        <v>79</v>
      </c>
      <c r="D614" s="509">
        <v>45480</v>
      </c>
      <c r="E614" s="541" t="s">
        <v>608</v>
      </c>
      <c r="G614" s="511"/>
      <c r="H614" s="511">
        <v>70.41</v>
      </c>
      <c r="I614" s="477">
        <f t="shared" si="59"/>
        <v>1135.5239999999999</v>
      </c>
      <c r="J614" s="466" t="s">
        <v>273</v>
      </c>
      <c r="K614" s="20">
        <v>6230</v>
      </c>
      <c r="L614" s="74" t="s">
        <v>404</v>
      </c>
      <c r="M614" s="74" t="str">
        <f>VLOOKUP($K614,'2 CODIFICATION'!D$8:E$64,2,"FAUX")</f>
        <v>communication</v>
      </c>
      <c r="N614" s="74">
        <f t="shared" si="62"/>
        <v>623000</v>
      </c>
      <c r="O614" s="206">
        <f t="shared" si="63"/>
        <v>-70.41</v>
      </c>
      <c r="P614" s="74">
        <f t="shared" si="58"/>
        <v>2024</v>
      </c>
      <c r="Q614" s="270" t="str">
        <f>VLOOKUP($N614,'2 CODIFICATION'!$G$5:$L$71,3,FALSE)</f>
        <v>Publicité, publications, Création de site web</v>
      </c>
      <c r="R614" s="271" t="str">
        <f>VLOOKUP($N614,'2 CODIFICATION'!$G$5:$L$71,4,FALSE)</f>
        <v>chges</v>
      </c>
      <c r="S614" s="271">
        <f>VLOOKUP($N614,'2 CODIFICATION'!$G$5:$L$71,5,FALSE)</f>
        <v>62</v>
      </c>
      <c r="T614" s="270" t="str">
        <f>VLOOKUP($N614,'2 CODIFICATION'!$G$5:$L$71,6,FALSE)</f>
        <v>Autres services extérieurs</v>
      </c>
    </row>
    <row r="615" spans="1:20" hidden="1">
      <c r="A615" s="201" t="s">
        <v>724</v>
      </c>
      <c r="B615" s="508" t="s">
        <v>79</v>
      </c>
      <c r="D615" s="509">
        <v>45480</v>
      </c>
      <c r="E615" s="549" t="s">
        <v>613</v>
      </c>
      <c r="G615" s="542">
        <v>100</v>
      </c>
      <c r="H615" s="511"/>
      <c r="I615" s="477">
        <f t="shared" si="59"/>
        <v>1235.5239999999999</v>
      </c>
      <c r="J615" s="466" t="s">
        <v>273</v>
      </c>
      <c r="K615" s="20">
        <v>7581</v>
      </c>
      <c r="L615" s="74" t="s">
        <v>404</v>
      </c>
      <c r="M615" s="74" t="str">
        <f>VLOOKUP($K615,'2 CODIFICATION'!D$8:E$64,2,"FAUX")</f>
        <v>Adhésions association</v>
      </c>
      <c r="N615" s="74">
        <f t="shared" si="62"/>
        <v>758100</v>
      </c>
      <c r="O615" s="206">
        <f t="shared" si="63"/>
        <v>100</v>
      </c>
      <c r="P615" s="74">
        <f t="shared" si="58"/>
        <v>2024</v>
      </c>
      <c r="Q615" s="270" t="str">
        <f>VLOOKUP($N615,'2 CODIFICATION'!$G$5:$L$71,3,FALSE)</f>
        <v>Cotisations individuelles et associatives</v>
      </c>
      <c r="R615" s="271" t="str">
        <f>VLOOKUP($N615,'2 CODIFICATION'!$G$5:$L$71,4,FALSE)</f>
        <v>pdts</v>
      </c>
      <c r="S615" s="271">
        <f>VLOOKUP($N615,'2 CODIFICATION'!$G$5:$L$71,5,FALSE)</f>
        <v>75</v>
      </c>
      <c r="T615" s="270" t="str">
        <f>VLOOKUP($N615,'2 CODIFICATION'!$G$5:$L$71,6,FALSE)</f>
        <v>Autres produits de gestion courante</v>
      </c>
    </row>
    <row r="616" spans="1:20" hidden="1">
      <c r="A616" s="201" t="s">
        <v>724</v>
      </c>
      <c r="B616" s="508" t="s">
        <v>79</v>
      </c>
      <c r="D616" s="509">
        <v>45480</v>
      </c>
      <c r="E616" s="549" t="s">
        <v>614</v>
      </c>
      <c r="G616" s="542">
        <v>1200</v>
      </c>
      <c r="H616" s="511"/>
      <c r="I616" s="477">
        <f t="shared" si="59"/>
        <v>2435.5239999999999</v>
      </c>
      <c r="J616" s="466" t="s">
        <v>273</v>
      </c>
      <c r="K616" s="20">
        <v>7771</v>
      </c>
      <c r="L616" s="74" t="s">
        <v>404</v>
      </c>
      <c r="M616" s="74" t="str">
        <f>VLOOKUP($K616,'2 CODIFICATION'!D$8:E$64,2,"FAUX")</f>
        <v>Dons et participations à l"association</v>
      </c>
      <c r="N616" s="74">
        <f t="shared" si="62"/>
        <v>777100</v>
      </c>
      <c r="O616" s="206">
        <f t="shared" si="63"/>
        <v>1200</v>
      </c>
      <c r="P616" s="74">
        <f t="shared" si="58"/>
        <v>2024</v>
      </c>
      <c r="Q616" s="270" t="str">
        <f>VLOOKUP($N616,'2 CODIFICATION'!$G$5:$L$71,3,FALSE)</f>
        <v>Dons et autres mises à dispositions gratuites</v>
      </c>
      <c r="R616" s="271" t="str">
        <f>VLOOKUP($N616,'2 CODIFICATION'!$G$5:$L$71,4,FALSE)</f>
        <v>pdts</v>
      </c>
      <c r="S616" s="271">
        <f>VLOOKUP($N616,'2 CODIFICATION'!$G$5:$L$71,5,FALSE)</f>
        <v>77</v>
      </c>
      <c r="T616" s="270" t="str">
        <f>VLOOKUP($N616,'2 CODIFICATION'!$G$5:$L$71,6,FALSE)</f>
        <v>Produits exceptionnels</v>
      </c>
    </row>
    <row r="617" spans="1:20" hidden="1">
      <c r="A617" s="201" t="s">
        <v>724</v>
      </c>
      <c r="B617" s="508" t="s">
        <v>79</v>
      </c>
      <c r="D617" s="509">
        <v>45490</v>
      </c>
      <c r="E617" s="510" t="s">
        <v>594</v>
      </c>
      <c r="G617" s="511">
        <v>50</v>
      </c>
      <c r="H617" s="511"/>
      <c r="I617" s="477">
        <f t="shared" si="59"/>
        <v>2485.5239999999999</v>
      </c>
      <c r="J617" s="466" t="s">
        <v>273</v>
      </c>
      <c r="K617" s="20">
        <v>7581</v>
      </c>
      <c r="L617" s="74" t="s">
        <v>404</v>
      </c>
      <c r="M617" s="74" t="str">
        <f>VLOOKUP($K617,'2 CODIFICATION'!D$8:E$64,2,"FAUX")</f>
        <v>Adhésions association</v>
      </c>
      <c r="N617" s="74">
        <f t="shared" si="62"/>
        <v>758100</v>
      </c>
      <c r="O617" s="206">
        <f t="shared" si="63"/>
        <v>50</v>
      </c>
      <c r="P617" s="74">
        <f t="shared" si="58"/>
        <v>2024</v>
      </c>
      <c r="Q617" s="270" t="str">
        <f>VLOOKUP($N617,'2 CODIFICATION'!$G$5:$L$71,3,FALSE)</f>
        <v>Cotisations individuelles et associatives</v>
      </c>
      <c r="R617" s="271" t="str">
        <f>VLOOKUP($N617,'2 CODIFICATION'!$G$5:$L$71,4,FALSE)</f>
        <v>pdts</v>
      </c>
      <c r="S617" s="271">
        <f>VLOOKUP($N617,'2 CODIFICATION'!$G$5:$L$71,5,FALSE)</f>
        <v>75</v>
      </c>
      <c r="T617" s="270" t="str">
        <f>VLOOKUP($N617,'2 CODIFICATION'!$G$5:$L$71,6,FALSE)</f>
        <v>Autres produits de gestion courante</v>
      </c>
    </row>
    <row r="618" spans="1:20" hidden="1">
      <c r="A618" s="201" t="s">
        <v>724</v>
      </c>
      <c r="B618" s="508" t="s">
        <v>79</v>
      </c>
      <c r="D618" s="509">
        <v>45505</v>
      </c>
      <c r="E618" s="510" t="s">
        <v>595</v>
      </c>
      <c r="G618" s="542">
        <v>30</v>
      </c>
      <c r="H618" s="511"/>
      <c r="I618" s="477">
        <f t="shared" si="59"/>
        <v>2515.5239999999999</v>
      </c>
      <c r="J618" s="466" t="s">
        <v>273</v>
      </c>
      <c r="K618" s="20">
        <v>7581</v>
      </c>
      <c r="L618" s="74" t="s">
        <v>404</v>
      </c>
      <c r="M618" s="74" t="str">
        <f>VLOOKUP($K618,'2 CODIFICATION'!D$8:E$64,2,"FAUX")</f>
        <v>Adhésions association</v>
      </c>
      <c r="N618" s="74">
        <f t="shared" si="62"/>
        <v>758100</v>
      </c>
      <c r="O618" s="206">
        <f t="shared" si="63"/>
        <v>30</v>
      </c>
      <c r="P618" s="74">
        <f t="shared" si="58"/>
        <v>2024</v>
      </c>
      <c r="Q618" s="270" t="str">
        <f>VLOOKUP($N618,'2 CODIFICATION'!$G$5:$L$71,3,FALSE)</f>
        <v>Cotisations individuelles et associatives</v>
      </c>
      <c r="R618" s="271" t="str">
        <f>VLOOKUP($N618,'2 CODIFICATION'!$G$5:$L$71,4,FALSE)</f>
        <v>pdts</v>
      </c>
      <c r="S618" s="271">
        <f>VLOOKUP($N618,'2 CODIFICATION'!$G$5:$L$71,5,FALSE)</f>
        <v>75</v>
      </c>
      <c r="T618" s="270" t="str">
        <f>VLOOKUP($N618,'2 CODIFICATION'!$G$5:$L$71,6,FALSE)</f>
        <v>Autres produits de gestion courante</v>
      </c>
    </row>
    <row r="619" spans="1:20" hidden="1">
      <c r="A619" s="201" t="s">
        <v>724</v>
      </c>
      <c r="B619" s="508" t="s">
        <v>79</v>
      </c>
      <c r="D619" s="509">
        <v>45534</v>
      </c>
      <c r="E619" s="510" t="s">
        <v>612</v>
      </c>
      <c r="G619" s="542">
        <v>50</v>
      </c>
      <c r="H619" s="511"/>
      <c r="I619" s="477">
        <f t="shared" si="59"/>
        <v>2565.5239999999999</v>
      </c>
      <c r="J619" s="466" t="s">
        <v>273</v>
      </c>
      <c r="K619" s="20">
        <v>7581</v>
      </c>
      <c r="L619" s="74" t="s">
        <v>404</v>
      </c>
      <c r="M619" s="74" t="str">
        <f>VLOOKUP($K619,'2 CODIFICATION'!D$8:E$64,2,"FAUX")</f>
        <v>Adhésions association</v>
      </c>
      <c r="N619" s="74">
        <f t="shared" si="62"/>
        <v>758100</v>
      </c>
      <c r="O619" s="206">
        <f t="shared" si="63"/>
        <v>50</v>
      </c>
      <c r="P619" s="74">
        <f t="shared" si="58"/>
        <v>2024</v>
      </c>
      <c r="Q619" s="270" t="str">
        <f>VLOOKUP($N619,'2 CODIFICATION'!$G$5:$L$71,3,FALSE)</f>
        <v>Cotisations individuelles et associatives</v>
      </c>
      <c r="R619" s="271" t="str">
        <f>VLOOKUP($N619,'2 CODIFICATION'!$G$5:$L$71,4,FALSE)</f>
        <v>pdts</v>
      </c>
      <c r="S619" s="271">
        <f>VLOOKUP($N619,'2 CODIFICATION'!$G$5:$L$71,5,FALSE)</f>
        <v>75</v>
      </c>
      <c r="T619" s="270" t="str">
        <f>VLOOKUP($N619,'2 CODIFICATION'!$G$5:$L$71,6,FALSE)</f>
        <v>Autres produits de gestion courante</v>
      </c>
    </row>
    <row r="620" spans="1:20" hidden="1">
      <c r="A620" s="201" t="s">
        <v>724</v>
      </c>
      <c r="B620" s="508" t="s">
        <v>79</v>
      </c>
      <c r="D620" s="509">
        <v>45537</v>
      </c>
      <c r="E620" s="510" t="s">
        <v>611</v>
      </c>
      <c r="G620" s="542">
        <v>60</v>
      </c>
      <c r="H620" s="511"/>
      <c r="I620" s="477">
        <f t="shared" si="59"/>
        <v>2625.5239999999999</v>
      </c>
      <c r="J620" s="466" t="s">
        <v>273</v>
      </c>
      <c r="K620" s="20">
        <v>7581</v>
      </c>
      <c r="L620" s="74" t="s">
        <v>404</v>
      </c>
      <c r="M620" s="74" t="str">
        <f>VLOOKUP($K620,'2 CODIFICATION'!D$8:E$64,2,"FAUX")</f>
        <v>Adhésions association</v>
      </c>
      <c r="N620" s="74">
        <f t="shared" si="62"/>
        <v>758100</v>
      </c>
      <c r="O620" s="206">
        <f t="shared" si="63"/>
        <v>60</v>
      </c>
      <c r="P620" s="74">
        <f t="shared" si="58"/>
        <v>2024</v>
      </c>
      <c r="Q620" s="270" t="str">
        <f>VLOOKUP($N620,'2 CODIFICATION'!$G$5:$L$71,3,FALSE)</f>
        <v>Cotisations individuelles et associatives</v>
      </c>
      <c r="R620" s="271" t="str">
        <f>VLOOKUP($N620,'2 CODIFICATION'!$G$5:$L$71,4,FALSE)</f>
        <v>pdts</v>
      </c>
      <c r="S620" s="271">
        <f>VLOOKUP($N620,'2 CODIFICATION'!$G$5:$L$71,5,FALSE)</f>
        <v>75</v>
      </c>
      <c r="T620" s="270" t="str">
        <f>VLOOKUP($N620,'2 CODIFICATION'!$G$5:$L$71,6,FALSE)</f>
        <v>Autres produits de gestion courante</v>
      </c>
    </row>
    <row r="621" spans="1:20" hidden="1">
      <c r="A621" s="201" t="s">
        <v>724</v>
      </c>
      <c r="B621" s="508" t="s">
        <v>79</v>
      </c>
      <c r="D621" s="509">
        <v>45542</v>
      </c>
      <c r="E621" s="510" t="s">
        <v>599</v>
      </c>
      <c r="G621" s="528"/>
      <c r="H621" s="528">
        <v>127.71</v>
      </c>
      <c r="I621" s="477">
        <f t="shared" si="59"/>
        <v>2497.8139999999999</v>
      </c>
      <c r="J621" s="466" t="s">
        <v>273</v>
      </c>
      <c r="K621" s="20">
        <v>6230</v>
      </c>
      <c r="L621" s="74" t="s">
        <v>404</v>
      </c>
      <c r="M621" s="74" t="str">
        <f>VLOOKUP($K621,'2 CODIFICATION'!D$8:E$64,2,"FAUX")</f>
        <v>communication</v>
      </c>
      <c r="N621" s="74">
        <f t="shared" si="62"/>
        <v>623000</v>
      </c>
      <c r="O621" s="206">
        <f t="shared" si="63"/>
        <v>-127.71</v>
      </c>
      <c r="P621" s="74">
        <f t="shared" si="58"/>
        <v>2024</v>
      </c>
      <c r="Q621" s="270" t="str">
        <f>VLOOKUP($N621,'2 CODIFICATION'!$G$5:$L$71,3,FALSE)</f>
        <v>Publicité, publications, Création de site web</v>
      </c>
      <c r="R621" s="271" t="str">
        <f>VLOOKUP($N621,'2 CODIFICATION'!$G$5:$L$71,4,FALSE)</f>
        <v>chges</v>
      </c>
      <c r="S621" s="271">
        <f>VLOOKUP($N621,'2 CODIFICATION'!$G$5:$L$71,5,FALSE)</f>
        <v>62</v>
      </c>
      <c r="T621" s="270" t="str">
        <f>VLOOKUP($N621,'2 CODIFICATION'!$G$5:$L$71,6,FALSE)</f>
        <v>Autres services extérieurs</v>
      </c>
    </row>
    <row r="622" spans="1:20" hidden="1">
      <c r="A622" s="201" t="s">
        <v>724</v>
      </c>
      <c r="B622" s="508" t="s">
        <v>79</v>
      </c>
      <c r="D622" s="509">
        <v>45542</v>
      </c>
      <c r="E622" s="510" t="s">
        <v>599</v>
      </c>
      <c r="G622" s="528">
        <v>467.2</v>
      </c>
      <c r="H622" s="528"/>
      <c r="I622" s="477">
        <f t="shared" si="59"/>
        <v>2965.0139999999997</v>
      </c>
      <c r="J622" s="466" t="s">
        <v>273</v>
      </c>
      <c r="K622" s="20">
        <v>6230</v>
      </c>
      <c r="L622" s="74" t="s">
        <v>404</v>
      </c>
      <c r="M622" s="74" t="str">
        <f>VLOOKUP($K622,'2 CODIFICATION'!D$8:E$64,2,"FAUX")</f>
        <v>communication</v>
      </c>
      <c r="N622" s="74">
        <f t="shared" si="62"/>
        <v>623000</v>
      </c>
      <c r="O622" s="206">
        <f t="shared" si="63"/>
        <v>467.2</v>
      </c>
      <c r="P622" s="74">
        <f t="shared" si="58"/>
        <v>2024</v>
      </c>
      <c r="Q622" s="270" t="str">
        <f>VLOOKUP($N622,'2 CODIFICATION'!$G$5:$L$71,3,FALSE)</f>
        <v>Publicité, publications, Création de site web</v>
      </c>
      <c r="R622" s="271" t="str">
        <f>VLOOKUP($N622,'2 CODIFICATION'!$G$5:$L$71,4,FALSE)</f>
        <v>chges</v>
      </c>
      <c r="S622" s="271">
        <f>VLOOKUP($N622,'2 CODIFICATION'!$G$5:$L$71,5,FALSE)</f>
        <v>62</v>
      </c>
      <c r="T622" s="270" t="str">
        <f>VLOOKUP($N622,'2 CODIFICATION'!$G$5:$L$71,6,FALSE)</f>
        <v>Autres services extérieurs</v>
      </c>
    </row>
    <row r="623" spans="1:20" hidden="1">
      <c r="A623" s="201" t="s">
        <v>724</v>
      </c>
      <c r="B623" s="508" t="s">
        <v>79</v>
      </c>
      <c r="D623" s="509">
        <v>45567</v>
      </c>
      <c r="E623" s="510" t="s">
        <v>624</v>
      </c>
      <c r="G623" s="542">
        <v>10</v>
      </c>
      <c r="H623" s="511"/>
      <c r="I623" s="477">
        <f t="shared" si="59"/>
        <v>2975.0139999999997</v>
      </c>
      <c r="J623" s="466" t="s">
        <v>273</v>
      </c>
      <c r="K623" s="20">
        <v>7581</v>
      </c>
      <c r="L623" s="74" t="s">
        <v>404</v>
      </c>
      <c r="M623" s="74" t="str">
        <f>VLOOKUP($K623,'2 CODIFICATION'!D$8:E$64,2,"FAUX")</f>
        <v>Adhésions association</v>
      </c>
      <c r="N623" s="74">
        <f t="shared" si="62"/>
        <v>758100</v>
      </c>
      <c r="O623" s="206">
        <f t="shared" si="63"/>
        <v>10</v>
      </c>
      <c r="P623" s="74">
        <f t="shared" si="58"/>
        <v>2024</v>
      </c>
      <c r="Q623" s="270" t="str">
        <f>VLOOKUP($N623,'2 CODIFICATION'!$G$5:$L$71,3,FALSE)</f>
        <v>Cotisations individuelles et associatives</v>
      </c>
      <c r="R623" s="271" t="str">
        <f>VLOOKUP($N623,'2 CODIFICATION'!$G$5:$L$71,4,FALSE)</f>
        <v>pdts</v>
      </c>
      <c r="S623" s="271">
        <f>VLOOKUP($N623,'2 CODIFICATION'!$G$5:$L$71,5,FALSE)</f>
        <v>75</v>
      </c>
      <c r="T623" s="270" t="str">
        <f>VLOOKUP($N623,'2 CODIFICATION'!$G$5:$L$71,6,FALSE)</f>
        <v>Autres produits de gestion courante</v>
      </c>
    </row>
    <row r="624" spans="1:20" hidden="1">
      <c r="A624" s="201" t="s">
        <v>724</v>
      </c>
      <c r="B624" s="508" t="s">
        <v>79</v>
      </c>
      <c r="D624" s="509">
        <v>45567</v>
      </c>
      <c r="E624" s="510" t="s">
        <v>629</v>
      </c>
      <c r="G624" s="542">
        <v>50</v>
      </c>
      <c r="H624" s="511"/>
      <c r="I624" s="477">
        <f t="shared" si="59"/>
        <v>3025.0139999999997</v>
      </c>
      <c r="J624" s="466" t="s">
        <v>273</v>
      </c>
      <c r="K624" s="20">
        <v>7581</v>
      </c>
      <c r="L624" s="74" t="s">
        <v>404</v>
      </c>
      <c r="M624" s="74" t="str">
        <f>VLOOKUP($K624,'2 CODIFICATION'!D$8:E$64,2,"FAUX")</f>
        <v>Adhésions association</v>
      </c>
      <c r="N624" s="74">
        <f t="shared" si="62"/>
        <v>758100</v>
      </c>
      <c r="O624" s="206">
        <f t="shared" si="63"/>
        <v>50</v>
      </c>
      <c r="P624" s="74">
        <f t="shared" si="58"/>
        <v>2024</v>
      </c>
      <c r="Q624" s="270" t="str">
        <f>VLOOKUP($N624,'2 CODIFICATION'!$G$5:$L$71,3,FALSE)</f>
        <v>Cotisations individuelles et associatives</v>
      </c>
      <c r="R624" s="271" t="str">
        <f>VLOOKUP($N624,'2 CODIFICATION'!$G$5:$L$71,4,FALSE)</f>
        <v>pdts</v>
      </c>
      <c r="S624" s="271">
        <f>VLOOKUP($N624,'2 CODIFICATION'!$G$5:$L$71,5,FALSE)</f>
        <v>75</v>
      </c>
      <c r="T624" s="270" t="str">
        <f>VLOOKUP($N624,'2 CODIFICATION'!$G$5:$L$71,6,FALSE)</f>
        <v>Autres produits de gestion courante</v>
      </c>
    </row>
    <row r="625" spans="1:20" hidden="1">
      <c r="A625" s="201" t="s">
        <v>724</v>
      </c>
      <c r="B625" s="508" t="s">
        <v>79</v>
      </c>
      <c r="D625" s="509">
        <v>45627</v>
      </c>
      <c r="E625" s="541" t="s">
        <v>729</v>
      </c>
      <c r="G625" s="511">
        <v>20</v>
      </c>
      <c r="H625" s="511"/>
      <c r="I625" s="477">
        <f t="shared" si="59"/>
        <v>3045.0139999999997</v>
      </c>
      <c r="J625" s="466" t="s">
        <v>273</v>
      </c>
      <c r="K625" s="20">
        <v>7581</v>
      </c>
      <c r="L625" s="74" t="s">
        <v>404</v>
      </c>
      <c r="M625" s="74" t="str">
        <f>VLOOKUP($K625,'2 CODIFICATION'!D$8:E$64,2,"FAUX")</f>
        <v>Adhésions association</v>
      </c>
      <c r="N625" s="74">
        <f t="shared" si="62"/>
        <v>758100</v>
      </c>
      <c r="O625" s="206">
        <f t="shared" si="63"/>
        <v>20</v>
      </c>
      <c r="P625" s="74">
        <f t="shared" si="58"/>
        <v>2024</v>
      </c>
      <c r="Q625" s="270" t="str">
        <f>VLOOKUP($N625,'2 CODIFICATION'!$G$5:$L$71,3,FALSE)</f>
        <v>Cotisations individuelles et associatives</v>
      </c>
      <c r="R625" s="271" t="str">
        <f>VLOOKUP($N625,'2 CODIFICATION'!$G$5:$L$71,4,FALSE)</f>
        <v>pdts</v>
      </c>
      <c r="S625" s="271">
        <f>VLOOKUP($N625,'2 CODIFICATION'!$G$5:$L$71,5,FALSE)</f>
        <v>75</v>
      </c>
      <c r="T625" s="270" t="str">
        <f>VLOOKUP($N625,'2 CODIFICATION'!$G$5:$L$71,6,FALSE)</f>
        <v>Autres produits de gestion courante</v>
      </c>
    </row>
    <row r="626" spans="1:20" hidden="1">
      <c r="A626" s="201" t="s">
        <v>724</v>
      </c>
      <c r="B626" s="508" t="s">
        <v>79</v>
      </c>
      <c r="D626" s="509">
        <v>45610</v>
      </c>
      <c r="E626" s="541" t="s">
        <v>728</v>
      </c>
      <c r="G626" s="511"/>
      <c r="H626" s="511">
        <v>123.98</v>
      </c>
      <c r="I626" s="477">
        <f t="shared" si="59"/>
        <v>2921.0339999999997</v>
      </c>
      <c r="J626" s="466" t="s">
        <v>273</v>
      </c>
      <c r="K626" s="20">
        <v>6230</v>
      </c>
      <c r="L626" s="74" t="s">
        <v>404</v>
      </c>
      <c r="M626" s="74" t="str">
        <f>VLOOKUP($K626,'2 CODIFICATION'!D$8:E$64,2,"FAUX")</f>
        <v>communication</v>
      </c>
      <c r="N626" s="74">
        <f t="shared" si="62"/>
        <v>623000</v>
      </c>
      <c r="O626" s="206">
        <f t="shared" si="63"/>
        <v>-123.98</v>
      </c>
      <c r="P626" s="74">
        <f t="shared" si="58"/>
        <v>2024</v>
      </c>
      <c r="Q626" s="270" t="str">
        <f>VLOOKUP($N626,'2 CODIFICATION'!$G$5:$L$71,3,FALSE)</f>
        <v>Publicité, publications, Création de site web</v>
      </c>
      <c r="R626" s="271" t="str">
        <f>VLOOKUP($N626,'2 CODIFICATION'!$G$5:$L$71,4,FALSE)</f>
        <v>chges</v>
      </c>
      <c r="S626" s="271">
        <f>VLOOKUP($N626,'2 CODIFICATION'!$G$5:$L$71,5,FALSE)</f>
        <v>62</v>
      </c>
      <c r="T626" s="270" t="str">
        <f>VLOOKUP($N626,'2 CODIFICATION'!$G$5:$L$71,6,FALSE)</f>
        <v>Autres services extérieurs</v>
      </c>
    </row>
    <row r="627" spans="1:20" hidden="1">
      <c r="A627" s="201" t="s">
        <v>724</v>
      </c>
      <c r="B627" s="508" t="s">
        <v>79</v>
      </c>
      <c r="D627" s="509">
        <v>45610</v>
      </c>
      <c r="E627" s="541" t="s">
        <v>650</v>
      </c>
      <c r="G627" s="511">
        <v>99.184000000000012</v>
      </c>
      <c r="H627" s="511"/>
      <c r="I627" s="477">
        <f t="shared" si="59"/>
        <v>3020.2179999999998</v>
      </c>
      <c r="J627" s="466" t="s">
        <v>273</v>
      </c>
      <c r="K627" s="20">
        <v>6230</v>
      </c>
      <c r="L627" s="74" t="s">
        <v>404</v>
      </c>
      <c r="M627" s="74" t="str">
        <f>VLOOKUP($K627,'2 CODIFICATION'!D$8:E$64,2,"FAUX")</f>
        <v>communication</v>
      </c>
      <c r="N627" s="74">
        <f t="shared" si="62"/>
        <v>623000</v>
      </c>
      <c r="O627" s="206">
        <f t="shared" si="63"/>
        <v>99.184000000000012</v>
      </c>
      <c r="P627" s="74">
        <f t="shared" si="58"/>
        <v>2024</v>
      </c>
      <c r="Q627" s="270" t="str">
        <f>VLOOKUP($N627,'2 CODIFICATION'!$G$5:$L$71,3,FALSE)</f>
        <v>Publicité, publications, Création de site web</v>
      </c>
      <c r="R627" s="271" t="str">
        <f>VLOOKUP($N627,'2 CODIFICATION'!$G$5:$L$71,4,FALSE)</f>
        <v>chges</v>
      </c>
      <c r="S627" s="271">
        <f>VLOOKUP($N627,'2 CODIFICATION'!$G$5:$L$71,5,FALSE)</f>
        <v>62</v>
      </c>
      <c r="T627" s="270" t="str">
        <f>VLOOKUP($N627,'2 CODIFICATION'!$G$5:$L$71,6,FALSE)</f>
        <v>Autres services extérieurs</v>
      </c>
    </row>
    <row r="628" spans="1:20" hidden="1">
      <c r="A628" s="201" t="s">
        <v>724</v>
      </c>
      <c r="B628" s="508" t="s">
        <v>79</v>
      </c>
      <c r="D628" s="509">
        <v>45610</v>
      </c>
      <c r="E628" s="541" t="s">
        <v>727</v>
      </c>
      <c r="G628" s="511">
        <v>70</v>
      </c>
      <c r="H628" s="511"/>
      <c r="I628" s="477">
        <f t="shared" si="59"/>
        <v>3090.2179999999998</v>
      </c>
      <c r="J628" s="466" t="s">
        <v>273</v>
      </c>
      <c r="K628" s="20">
        <v>7581</v>
      </c>
      <c r="L628" s="74" t="s">
        <v>404</v>
      </c>
      <c r="M628" s="74" t="str">
        <f>VLOOKUP($K628,'2 CODIFICATION'!D$8:E$64,2,"FAUX")</f>
        <v>Adhésions association</v>
      </c>
      <c r="N628" s="74">
        <f t="shared" si="62"/>
        <v>758100</v>
      </c>
      <c r="O628" s="206">
        <f t="shared" si="63"/>
        <v>70</v>
      </c>
      <c r="P628" s="74">
        <f t="shared" si="58"/>
        <v>2024</v>
      </c>
      <c r="Q628" s="270" t="str">
        <f>VLOOKUP($N628,'2 CODIFICATION'!$G$5:$L$71,3,FALSE)</f>
        <v>Cotisations individuelles et associatives</v>
      </c>
      <c r="R628" s="271" t="str">
        <f>VLOOKUP($N628,'2 CODIFICATION'!$G$5:$L$71,4,FALSE)</f>
        <v>pdts</v>
      </c>
      <c r="S628" s="271">
        <f>VLOOKUP($N628,'2 CODIFICATION'!$G$5:$L$71,5,FALSE)</f>
        <v>75</v>
      </c>
      <c r="T628" s="270" t="str">
        <f>VLOOKUP($N628,'2 CODIFICATION'!$G$5:$L$71,6,FALSE)</f>
        <v>Autres produits de gestion courante</v>
      </c>
    </row>
    <row r="629" spans="1:20" ht="21.5" hidden="1">
      <c r="A629" s="201" t="s">
        <v>724</v>
      </c>
      <c r="B629" s="508" t="s">
        <v>79</v>
      </c>
      <c r="D629" s="509">
        <v>45603</v>
      </c>
      <c r="E629" s="510" t="s">
        <v>636</v>
      </c>
      <c r="G629" s="511">
        <v>100</v>
      </c>
      <c r="H629" s="511"/>
      <c r="I629" s="477">
        <f t="shared" si="59"/>
        <v>3190.2179999999998</v>
      </c>
      <c r="J629" s="466" t="s">
        <v>273</v>
      </c>
      <c r="K629" s="20">
        <v>7581</v>
      </c>
      <c r="L629" s="74" t="s">
        <v>404</v>
      </c>
      <c r="M629" s="74" t="str">
        <f>VLOOKUP($K629,'2 CODIFICATION'!D$8:E$64,2,"FAUX")</f>
        <v>Adhésions association</v>
      </c>
      <c r="N629" s="74">
        <f t="shared" si="62"/>
        <v>758100</v>
      </c>
      <c r="O629" s="206">
        <f t="shared" si="63"/>
        <v>100</v>
      </c>
      <c r="P629" s="74">
        <f t="shared" si="58"/>
        <v>2024</v>
      </c>
      <c r="Q629" s="270" t="str">
        <f>VLOOKUP($N629,'2 CODIFICATION'!$G$5:$L$71,3,FALSE)</f>
        <v>Cotisations individuelles et associatives</v>
      </c>
      <c r="R629" s="271" t="str">
        <f>VLOOKUP($N629,'2 CODIFICATION'!$G$5:$L$71,4,FALSE)</f>
        <v>pdts</v>
      </c>
      <c r="S629" s="271">
        <f>VLOOKUP($N629,'2 CODIFICATION'!$G$5:$L$71,5,FALSE)</f>
        <v>75</v>
      </c>
      <c r="T629" s="270" t="str">
        <f>VLOOKUP($N629,'2 CODIFICATION'!$G$5:$L$71,6,FALSE)</f>
        <v>Autres produits de gestion courante</v>
      </c>
    </row>
    <row r="630" spans="1:20" ht="21.5" hidden="1">
      <c r="A630" s="201" t="s">
        <v>724</v>
      </c>
      <c r="B630" s="508" t="s">
        <v>79</v>
      </c>
      <c r="D630" s="509">
        <v>45599</v>
      </c>
      <c r="E630" s="541" t="s">
        <v>726</v>
      </c>
      <c r="G630" s="511">
        <v>100</v>
      </c>
      <c r="H630" s="511"/>
      <c r="I630" s="477">
        <f t="shared" si="59"/>
        <v>3290.2179999999998</v>
      </c>
      <c r="J630" s="466" t="s">
        <v>273</v>
      </c>
      <c r="K630" s="20">
        <v>7581</v>
      </c>
      <c r="L630" s="74" t="s">
        <v>404</v>
      </c>
      <c r="M630" s="74" t="str">
        <f>VLOOKUP($K630,'2 CODIFICATION'!D$8:E$64,2,"FAUX")</f>
        <v>Adhésions association</v>
      </c>
      <c r="N630" s="74">
        <f t="shared" si="62"/>
        <v>758100</v>
      </c>
      <c r="O630" s="206">
        <f t="shared" si="63"/>
        <v>100</v>
      </c>
      <c r="P630" s="74">
        <f t="shared" si="58"/>
        <v>2024</v>
      </c>
      <c r="Q630" s="270" t="str">
        <f>VLOOKUP($N630,'2 CODIFICATION'!$G$5:$L$71,3,FALSE)</f>
        <v>Cotisations individuelles et associatives</v>
      </c>
      <c r="R630" s="271" t="str">
        <f>VLOOKUP($N630,'2 CODIFICATION'!$G$5:$L$71,4,FALSE)</f>
        <v>pdts</v>
      </c>
      <c r="S630" s="271">
        <f>VLOOKUP($N630,'2 CODIFICATION'!$G$5:$L$71,5,FALSE)</f>
        <v>75</v>
      </c>
      <c r="T630" s="270" t="str">
        <f>VLOOKUP($N630,'2 CODIFICATION'!$G$5:$L$71,6,FALSE)</f>
        <v>Autres produits de gestion courante</v>
      </c>
    </row>
    <row r="631" spans="1:20" hidden="1">
      <c r="A631" s="201" t="s">
        <v>724</v>
      </c>
      <c r="B631" s="508" t="s">
        <v>79</v>
      </c>
      <c r="D631" s="509">
        <v>45582</v>
      </c>
      <c r="E631" s="541" t="s">
        <v>725</v>
      </c>
      <c r="G631" s="788">
        <f>900-465.22</f>
        <v>434.78</v>
      </c>
      <c r="H631" s="511"/>
      <c r="I631" s="477">
        <f t="shared" si="59"/>
        <v>3724.9979999999996</v>
      </c>
      <c r="J631" s="466" t="s">
        <v>273</v>
      </c>
      <c r="K631" s="20">
        <v>7771</v>
      </c>
      <c r="L631" s="74" t="s">
        <v>404</v>
      </c>
      <c r="M631" s="74" t="str">
        <f>VLOOKUP($K631,'2 CODIFICATION'!D$8:E$64,2,"FAUX")</f>
        <v>Dons et participations à l"association</v>
      </c>
      <c r="N631" s="74">
        <f t="shared" si="62"/>
        <v>777100</v>
      </c>
      <c r="O631" s="206">
        <f t="shared" si="63"/>
        <v>434.78</v>
      </c>
      <c r="P631" s="74">
        <f t="shared" si="58"/>
        <v>2024</v>
      </c>
      <c r="Q631" s="270" t="str">
        <f>VLOOKUP($N631,'2 CODIFICATION'!$G$5:$L$71,3,FALSE)</f>
        <v>Dons et autres mises à dispositions gratuites</v>
      </c>
      <c r="R631" s="271" t="str">
        <f>VLOOKUP($N631,'2 CODIFICATION'!$G$5:$L$71,4,FALSE)</f>
        <v>pdts</v>
      </c>
      <c r="S631" s="271">
        <f>VLOOKUP($N631,'2 CODIFICATION'!$G$5:$L$71,5,FALSE)</f>
        <v>77</v>
      </c>
      <c r="T631" s="270" t="str">
        <f>VLOOKUP($N631,'2 CODIFICATION'!$G$5:$L$71,6,FALSE)</f>
        <v>Produits exceptionnels</v>
      </c>
    </row>
    <row r="632" spans="1:20" s="1138" customFormat="1" ht="26" hidden="1">
      <c r="A632" s="78" t="s">
        <v>724</v>
      </c>
      <c r="B632" s="78" t="s">
        <v>79</v>
      </c>
      <c r="D632" s="1139">
        <v>45473</v>
      </c>
      <c r="E632" s="733" t="s">
        <v>733</v>
      </c>
      <c r="F632" s="733"/>
      <c r="G632" s="1065"/>
      <c r="H632" s="1065">
        <f>(2000)*0.25</f>
        <v>500</v>
      </c>
      <c r="I632" s="1065">
        <f t="shared" si="59"/>
        <v>3224.9979999999996</v>
      </c>
      <c r="J632" s="74" t="s">
        <v>760</v>
      </c>
      <c r="K632" s="20">
        <v>6110</v>
      </c>
      <c r="L632" s="74" t="str">
        <f>VLOOKUP($J632,'[3]2 CODIFICATION'!A$5:B$30,2,"FAUX")</f>
        <v>EAU POTABLE</v>
      </c>
      <c r="M632" s="74" t="str">
        <f>VLOOKUP($K632,'[3]2 CODIFICATION'!D$7:E$61,2,"FAUX")</f>
        <v>Sous traitance projet</v>
      </c>
      <c r="N632" s="84">
        <f t="shared" si="62"/>
        <v>611000</v>
      </c>
      <c r="O632" s="1064">
        <f t="shared" ref="O632:O665" si="64">G632-H632</f>
        <v>-500</v>
      </c>
      <c r="P632" s="84">
        <f t="shared" si="58"/>
        <v>2024</v>
      </c>
      <c r="Q632" s="1140" t="str">
        <f>VLOOKUP($N632,'[3]2 CODIFICATION'!$G$5:$L$70,3,FALSE)</f>
        <v xml:space="preserve">Sous-traitance générale </v>
      </c>
      <c r="R632" s="1141" t="str">
        <f>VLOOKUP($N632,'[3]2 CODIFICATION'!$G$5:$L$70,4,FALSE)</f>
        <v>chges</v>
      </c>
      <c r="S632" s="1141">
        <f>VLOOKUP($N632,'[3]2 CODIFICATION'!$G$5:$L$70,5,FALSE)</f>
        <v>61</v>
      </c>
      <c r="T632" s="1140" t="str">
        <f>VLOOKUP($N632,'[3]2 CODIFICATION'!$G$5:$L$70,6,FALSE)</f>
        <v>Services extérieurs</v>
      </c>
    </row>
    <row r="633" spans="1:20" s="1138" customFormat="1" ht="26" hidden="1">
      <c r="A633" s="78" t="s">
        <v>724</v>
      </c>
      <c r="B633" s="78" t="s">
        <v>79</v>
      </c>
      <c r="D633" s="1139">
        <v>45473</v>
      </c>
      <c r="E633" s="1142" t="s">
        <v>735</v>
      </c>
      <c r="F633" s="1142"/>
      <c r="G633" s="1065"/>
      <c r="H633" s="1065">
        <v>875</v>
      </c>
      <c r="I633" s="1065">
        <f t="shared" si="59"/>
        <v>2349.9979999999996</v>
      </c>
      <c r="J633" s="74" t="s">
        <v>760</v>
      </c>
      <c r="K633" s="20">
        <v>6110</v>
      </c>
      <c r="L633" s="74" t="str">
        <f>VLOOKUP($J633,'[3]2 CODIFICATION'!A$5:B$30,2,"FAUX")</f>
        <v>EAU POTABLE</v>
      </c>
      <c r="M633" s="74" t="str">
        <f>VLOOKUP($K633,'[3]2 CODIFICATION'!D$7:E$61,2,"FAUX")</f>
        <v>Sous traitance projet</v>
      </c>
      <c r="N633" s="84">
        <f t="shared" si="62"/>
        <v>611000</v>
      </c>
      <c r="O633" s="1064">
        <f t="shared" si="64"/>
        <v>-875</v>
      </c>
      <c r="P633" s="84">
        <f t="shared" si="58"/>
        <v>2024</v>
      </c>
      <c r="Q633" s="1140" t="str">
        <f>VLOOKUP($N633,'[3]2 CODIFICATION'!$G$5:$L$70,3,FALSE)</f>
        <v xml:space="preserve">Sous-traitance générale </v>
      </c>
      <c r="R633" s="1141" t="str">
        <f>VLOOKUP($N633,'[3]2 CODIFICATION'!$G$5:$L$70,4,FALSE)</f>
        <v>chges</v>
      </c>
      <c r="S633" s="1141">
        <f>VLOOKUP($N633,'[3]2 CODIFICATION'!$G$5:$L$70,5,FALSE)</f>
        <v>61</v>
      </c>
      <c r="T633" s="1140" t="str">
        <f>VLOOKUP($N633,'[3]2 CODIFICATION'!$G$5:$L$70,6,FALSE)</f>
        <v>Services extérieurs</v>
      </c>
    </row>
    <row r="634" spans="1:20" s="1138" customFormat="1" ht="26" hidden="1">
      <c r="A634" s="78" t="s">
        <v>724</v>
      </c>
      <c r="B634" s="78" t="s">
        <v>79</v>
      </c>
      <c r="D634" s="1139">
        <v>45473</v>
      </c>
      <c r="E634" s="1142" t="s">
        <v>736</v>
      </c>
      <c r="F634" s="1142"/>
      <c r="G634" s="1065"/>
      <c r="H634" s="1065">
        <v>744.25</v>
      </c>
      <c r="I634" s="1065">
        <f t="shared" si="59"/>
        <v>1605.7479999999996</v>
      </c>
      <c r="J634" s="74" t="s">
        <v>760</v>
      </c>
      <c r="K634" s="20">
        <v>6110</v>
      </c>
      <c r="L634" s="74" t="str">
        <f>VLOOKUP($J634,'[3]2 CODIFICATION'!A$5:B$30,2,"FAUX")</f>
        <v>EAU POTABLE</v>
      </c>
      <c r="M634" s="74" t="str">
        <f>VLOOKUP($K634,'[3]2 CODIFICATION'!D$7:E$61,2,"FAUX")</f>
        <v>Sous traitance projet</v>
      </c>
      <c r="N634" s="84">
        <f t="shared" si="62"/>
        <v>611000</v>
      </c>
      <c r="O634" s="1064">
        <f t="shared" si="64"/>
        <v>-744.25</v>
      </c>
      <c r="P634" s="84">
        <f t="shared" si="58"/>
        <v>2024</v>
      </c>
      <c r="Q634" s="1140" t="str">
        <f>VLOOKUP($N634,'[3]2 CODIFICATION'!$G$5:$L$70,3,FALSE)</f>
        <v xml:space="preserve">Sous-traitance générale </v>
      </c>
      <c r="R634" s="1141" t="str">
        <f>VLOOKUP($N634,'[3]2 CODIFICATION'!$G$5:$L$70,4,FALSE)</f>
        <v>chges</v>
      </c>
      <c r="S634" s="1141">
        <f>VLOOKUP($N634,'[3]2 CODIFICATION'!$G$5:$L$70,5,FALSE)</f>
        <v>61</v>
      </c>
      <c r="T634" s="1140" t="str">
        <f>VLOOKUP($N634,'[3]2 CODIFICATION'!$G$5:$L$70,6,FALSE)</f>
        <v>Services extérieurs</v>
      </c>
    </row>
    <row r="635" spans="1:20" s="1138" customFormat="1" hidden="1">
      <c r="A635" s="78" t="s">
        <v>724</v>
      </c>
      <c r="B635" s="78" t="s">
        <v>79</v>
      </c>
      <c r="D635" s="1139">
        <v>45473</v>
      </c>
      <c r="E635" s="1143" t="s">
        <v>737</v>
      </c>
      <c r="F635" s="1143"/>
      <c r="G635" s="1065"/>
      <c r="H635" s="1065">
        <v>875</v>
      </c>
      <c r="I635" s="1065">
        <f t="shared" si="59"/>
        <v>730.74799999999959</v>
      </c>
      <c r="J635" s="74" t="s">
        <v>760</v>
      </c>
      <c r="K635" s="20">
        <v>6250</v>
      </c>
      <c r="L635" s="74" t="str">
        <f>VLOOKUP($J635,'[3]2 CODIFICATION'!A$5:B$30,2,"FAUX")</f>
        <v>EAU POTABLE</v>
      </c>
      <c r="M635" s="74" t="str">
        <f>VLOOKUP($K635,'[3]2 CODIFICATION'!D$7:E$61,2,"FAUX")</f>
        <v>déplacements</v>
      </c>
      <c r="N635" s="84">
        <f t="shared" si="62"/>
        <v>625000</v>
      </c>
      <c r="O635" s="1064">
        <f t="shared" si="64"/>
        <v>-875</v>
      </c>
      <c r="P635" s="84">
        <f t="shared" si="58"/>
        <v>2024</v>
      </c>
      <c r="Q635" s="1140" t="str">
        <f>VLOOKUP($N635,'[3]2 CODIFICATION'!$G$5:$L$70,3,FALSE)</f>
        <v>Déplacements, missions et réceptions</v>
      </c>
      <c r="R635" s="1141" t="str">
        <f>VLOOKUP($N635,'[3]2 CODIFICATION'!$G$5:$L$70,4,FALSE)</f>
        <v>chges</v>
      </c>
      <c r="S635" s="1141">
        <f>VLOOKUP($N635,'[3]2 CODIFICATION'!$G$5:$L$70,5,FALSE)</f>
        <v>62</v>
      </c>
      <c r="T635" s="1140" t="str">
        <f>VLOOKUP($N635,'[3]2 CODIFICATION'!$G$5:$L$70,6,FALSE)</f>
        <v>Autres services extérieurs</v>
      </c>
    </row>
    <row r="636" spans="1:20" s="1138" customFormat="1" hidden="1">
      <c r="A636" s="78" t="s">
        <v>724</v>
      </c>
      <c r="B636" s="78" t="s">
        <v>79</v>
      </c>
      <c r="D636" s="1139">
        <v>45473</v>
      </c>
      <c r="E636" s="1143" t="s">
        <v>738</v>
      </c>
      <c r="F636" s="1143"/>
      <c r="G636" s="1065"/>
      <c r="H636" s="1065">
        <v>375</v>
      </c>
      <c r="I636" s="1065">
        <f t="shared" si="59"/>
        <v>355.74799999999959</v>
      </c>
      <c r="J636" s="74" t="s">
        <v>760</v>
      </c>
      <c r="K636" s="20">
        <v>6250</v>
      </c>
      <c r="L636" s="74" t="str">
        <f>VLOOKUP($J636,'[3]2 CODIFICATION'!A$5:B$30,2,"FAUX")</f>
        <v>EAU POTABLE</v>
      </c>
      <c r="M636" s="74" t="str">
        <f>VLOOKUP($K636,'[3]2 CODIFICATION'!D$7:E$61,2,"FAUX")</f>
        <v>déplacements</v>
      </c>
      <c r="N636" s="84">
        <f t="shared" si="62"/>
        <v>625000</v>
      </c>
      <c r="O636" s="1064">
        <f t="shared" si="64"/>
        <v>-375</v>
      </c>
      <c r="P636" s="84">
        <f t="shared" si="58"/>
        <v>2024</v>
      </c>
      <c r="Q636" s="1140" t="str">
        <f>VLOOKUP($N636,'[3]2 CODIFICATION'!$G$5:$L$70,3,FALSE)</f>
        <v>Déplacements, missions et réceptions</v>
      </c>
      <c r="R636" s="1141" t="str">
        <f>VLOOKUP($N636,'[3]2 CODIFICATION'!$G$5:$L$70,4,FALSE)</f>
        <v>chges</v>
      </c>
      <c r="S636" s="1141">
        <f>VLOOKUP($N636,'[3]2 CODIFICATION'!$G$5:$L$70,5,FALSE)</f>
        <v>62</v>
      </c>
      <c r="T636" s="1140" t="str">
        <f>VLOOKUP($N636,'[3]2 CODIFICATION'!$G$5:$L$70,6,FALSE)</f>
        <v>Autres services extérieurs</v>
      </c>
    </row>
    <row r="637" spans="1:20" s="1138" customFormat="1" hidden="1">
      <c r="A637" s="78" t="s">
        <v>724</v>
      </c>
      <c r="B637" s="78" t="s">
        <v>79</v>
      </c>
      <c r="D637" s="1139">
        <v>45473</v>
      </c>
      <c r="E637" s="1143" t="s">
        <v>739</v>
      </c>
      <c r="F637" s="1143"/>
      <c r="G637" s="1065"/>
      <c r="H637" s="1065">
        <v>375</v>
      </c>
      <c r="I637" s="1065">
        <f t="shared" si="59"/>
        <v>-19.252000000000407</v>
      </c>
      <c r="J637" s="74" t="s">
        <v>760</v>
      </c>
      <c r="K637" s="20">
        <v>6250</v>
      </c>
      <c r="L637" s="74" t="str">
        <f>VLOOKUP($J637,'[3]2 CODIFICATION'!A$5:B$30,2,"FAUX")</f>
        <v>EAU POTABLE</v>
      </c>
      <c r="M637" s="74" t="str">
        <f>VLOOKUP($K637,'[3]2 CODIFICATION'!D$7:E$61,2,"FAUX")</f>
        <v>déplacements</v>
      </c>
      <c r="N637" s="84">
        <f t="shared" si="62"/>
        <v>625000</v>
      </c>
      <c r="O637" s="1064">
        <f t="shared" si="64"/>
        <v>-375</v>
      </c>
      <c r="P637" s="84">
        <f t="shared" ref="P637:P665" si="65">YEAR(D637)</f>
        <v>2024</v>
      </c>
      <c r="Q637" s="1140" t="str">
        <f>VLOOKUP($N637,'[3]2 CODIFICATION'!$G$5:$L$70,3,FALSE)</f>
        <v>Déplacements, missions et réceptions</v>
      </c>
      <c r="R637" s="1141" t="str">
        <f>VLOOKUP($N637,'[3]2 CODIFICATION'!$G$5:$L$70,4,FALSE)</f>
        <v>chges</v>
      </c>
      <c r="S637" s="1141">
        <f>VLOOKUP($N637,'[3]2 CODIFICATION'!$G$5:$L$70,5,FALSE)</f>
        <v>62</v>
      </c>
      <c r="T637" s="1140" t="str">
        <f>VLOOKUP($N637,'[3]2 CODIFICATION'!$G$5:$L$70,6,FALSE)</f>
        <v>Autres services extérieurs</v>
      </c>
    </row>
    <row r="638" spans="1:20" s="1138" customFormat="1" ht="25" hidden="1">
      <c r="A638" s="78" t="s">
        <v>724</v>
      </c>
      <c r="B638" s="78" t="s">
        <v>79</v>
      </c>
      <c r="D638" s="1139">
        <v>45473</v>
      </c>
      <c r="E638" s="736" t="s">
        <v>764</v>
      </c>
      <c r="F638" s="754"/>
      <c r="G638" s="1065"/>
      <c r="H638" s="1065">
        <v>8932.25</v>
      </c>
      <c r="I638" s="1065">
        <f t="shared" si="59"/>
        <v>-8951.5020000000004</v>
      </c>
      <c r="J638" s="74" t="s">
        <v>760</v>
      </c>
      <c r="K638" s="20">
        <v>6110</v>
      </c>
      <c r="L638" s="74" t="str">
        <f>VLOOKUP($J638,'[3]2 CODIFICATION'!A$5:B$30,2,"FAUX")</f>
        <v>EAU POTABLE</v>
      </c>
      <c r="M638" s="74" t="str">
        <f>VLOOKUP($K638,'[3]2 CODIFICATION'!D$7:E$61,2,"FAUX")</f>
        <v>Sous traitance projet</v>
      </c>
      <c r="N638" s="84">
        <f t="shared" si="62"/>
        <v>611000</v>
      </c>
      <c r="O638" s="1064">
        <f t="shared" si="64"/>
        <v>-8932.25</v>
      </c>
      <c r="P638" s="84">
        <f t="shared" si="65"/>
        <v>2024</v>
      </c>
      <c r="Q638" s="1140" t="str">
        <f>VLOOKUP($N638,'[3]2 CODIFICATION'!$G$5:$L$70,3,FALSE)</f>
        <v xml:space="preserve">Sous-traitance générale </v>
      </c>
      <c r="R638" s="1141" t="str">
        <f>VLOOKUP($N638,'[3]2 CODIFICATION'!$G$5:$L$70,4,FALSE)</f>
        <v>chges</v>
      </c>
      <c r="S638" s="1141">
        <f>VLOOKUP($N638,'[3]2 CODIFICATION'!$G$5:$L$70,5,FALSE)</f>
        <v>61</v>
      </c>
      <c r="T638" s="1140" t="str">
        <f>VLOOKUP($N638,'[3]2 CODIFICATION'!$G$5:$L$70,6,FALSE)</f>
        <v>Services extérieurs</v>
      </c>
    </row>
    <row r="639" spans="1:20" s="1138" customFormat="1" hidden="1">
      <c r="A639" s="78" t="s">
        <v>724</v>
      </c>
      <c r="B639" s="78" t="s">
        <v>79</v>
      </c>
      <c r="D639" s="1139">
        <v>45473</v>
      </c>
      <c r="E639" s="1144" t="s">
        <v>765</v>
      </c>
      <c r="F639" s="755"/>
      <c r="G639" s="1065"/>
      <c r="H639" s="1065">
        <v>3795.5</v>
      </c>
      <c r="I639" s="1065">
        <f t="shared" si="59"/>
        <v>-12747.002</v>
      </c>
      <c r="J639" s="74" t="s">
        <v>760</v>
      </c>
      <c r="K639" s="20">
        <v>6110</v>
      </c>
      <c r="L639" s="74" t="str">
        <f>VLOOKUP($J639,'[3]2 CODIFICATION'!A$5:B$30,2,"FAUX")</f>
        <v>EAU POTABLE</v>
      </c>
      <c r="M639" s="74" t="str">
        <f>VLOOKUP($K639,'[3]2 CODIFICATION'!D$7:E$61,2,"FAUX")</f>
        <v>Sous traitance projet</v>
      </c>
      <c r="N639" s="84">
        <f t="shared" si="62"/>
        <v>611000</v>
      </c>
      <c r="O639" s="1064">
        <f t="shared" si="64"/>
        <v>-3795.5</v>
      </c>
      <c r="P639" s="84">
        <f t="shared" si="65"/>
        <v>2024</v>
      </c>
      <c r="Q639" s="1140" t="str">
        <f>VLOOKUP($N639,'[3]2 CODIFICATION'!$G$5:$L$70,3,FALSE)</f>
        <v xml:space="preserve">Sous-traitance générale </v>
      </c>
      <c r="R639" s="1141" t="str">
        <f>VLOOKUP($N639,'[3]2 CODIFICATION'!$G$5:$L$70,4,FALSE)</f>
        <v>chges</v>
      </c>
      <c r="S639" s="1141">
        <f>VLOOKUP($N639,'[3]2 CODIFICATION'!$G$5:$L$70,5,FALSE)</f>
        <v>61</v>
      </c>
      <c r="T639" s="1140" t="str">
        <f>VLOOKUP($N639,'[3]2 CODIFICATION'!$G$5:$L$70,6,FALSE)</f>
        <v>Services extérieurs</v>
      </c>
    </row>
    <row r="640" spans="1:20" s="1138" customFormat="1" ht="26" hidden="1">
      <c r="A640" s="78" t="s">
        <v>724</v>
      </c>
      <c r="B640" s="78" t="s">
        <v>79</v>
      </c>
      <c r="D640" s="1139">
        <v>45473</v>
      </c>
      <c r="E640" s="739" t="s">
        <v>766</v>
      </c>
      <c r="F640" s="739"/>
      <c r="G640" s="1065"/>
      <c r="H640" s="1065">
        <v>1628.5</v>
      </c>
      <c r="I640" s="1065">
        <f t="shared" si="59"/>
        <v>-14375.502</v>
      </c>
      <c r="J640" s="74" t="s">
        <v>760</v>
      </c>
      <c r="K640" s="20">
        <v>6110</v>
      </c>
      <c r="L640" s="74" t="str">
        <f>VLOOKUP($J640,'[3]2 CODIFICATION'!A$5:B$30,2,"FAUX")</f>
        <v>EAU POTABLE</v>
      </c>
      <c r="M640" s="74" t="str">
        <f>VLOOKUP($K640,'[3]2 CODIFICATION'!D$7:E$61,2,"FAUX")</f>
        <v>Sous traitance projet</v>
      </c>
      <c r="N640" s="84">
        <f t="shared" si="62"/>
        <v>611000</v>
      </c>
      <c r="O640" s="1064">
        <f t="shared" si="64"/>
        <v>-1628.5</v>
      </c>
      <c r="P640" s="84">
        <f t="shared" si="65"/>
        <v>2024</v>
      </c>
      <c r="Q640" s="1140" t="str">
        <f>VLOOKUP($N640,'[3]2 CODIFICATION'!$G$5:$L$70,3,FALSE)</f>
        <v xml:space="preserve">Sous-traitance générale </v>
      </c>
      <c r="R640" s="1141" t="str">
        <f>VLOOKUP($N640,'[3]2 CODIFICATION'!$G$5:$L$70,4,FALSE)</f>
        <v>chges</v>
      </c>
      <c r="S640" s="1141">
        <f>VLOOKUP($N640,'[3]2 CODIFICATION'!$G$5:$L$70,5,FALSE)</f>
        <v>61</v>
      </c>
      <c r="T640" s="1140" t="str">
        <f>VLOOKUP($N640,'[3]2 CODIFICATION'!$G$5:$L$70,6,FALSE)</f>
        <v>Services extérieurs</v>
      </c>
    </row>
    <row r="641" spans="1:20" s="1138" customFormat="1" hidden="1">
      <c r="A641" s="78" t="s">
        <v>724</v>
      </c>
      <c r="B641" s="78" t="s">
        <v>79</v>
      </c>
      <c r="D641" s="1139">
        <v>45473</v>
      </c>
      <c r="E641" s="1145" t="s">
        <v>740</v>
      </c>
      <c r="F641" s="1145"/>
      <c r="G641" s="1065"/>
      <c r="H641" s="1065">
        <v>311</v>
      </c>
      <c r="I641" s="1065">
        <f t="shared" si="59"/>
        <v>-14686.502</v>
      </c>
      <c r="J641" s="74" t="s">
        <v>760</v>
      </c>
      <c r="K641" s="20">
        <v>6110</v>
      </c>
      <c r="L641" s="74" t="str">
        <f>VLOOKUP($J641,'[3]2 CODIFICATION'!A$5:B$30,2,"FAUX")</f>
        <v>EAU POTABLE</v>
      </c>
      <c r="M641" s="74" t="str">
        <f>VLOOKUP($K641,'[3]2 CODIFICATION'!D$7:E$61,2,"FAUX")</f>
        <v>Sous traitance projet</v>
      </c>
      <c r="N641" s="84">
        <f t="shared" si="62"/>
        <v>611000</v>
      </c>
      <c r="O641" s="1064">
        <f t="shared" si="64"/>
        <v>-311</v>
      </c>
      <c r="P641" s="84">
        <f t="shared" si="65"/>
        <v>2024</v>
      </c>
      <c r="Q641" s="1140" t="str">
        <f>VLOOKUP($N641,'[3]2 CODIFICATION'!$G$5:$L$70,3,FALSE)</f>
        <v xml:space="preserve">Sous-traitance générale </v>
      </c>
      <c r="R641" s="1141" t="str">
        <f>VLOOKUP($N641,'[3]2 CODIFICATION'!$G$5:$L$70,4,FALSE)</f>
        <v>chges</v>
      </c>
      <c r="S641" s="1141">
        <f>VLOOKUP($N641,'[3]2 CODIFICATION'!$G$5:$L$70,5,FALSE)</f>
        <v>61</v>
      </c>
      <c r="T641" s="1140" t="str">
        <f>VLOOKUP($N641,'[3]2 CODIFICATION'!$G$5:$L$70,6,FALSE)</f>
        <v>Services extérieurs</v>
      </c>
    </row>
    <row r="642" spans="1:20" s="1138" customFormat="1" hidden="1">
      <c r="A642" s="78" t="s">
        <v>724</v>
      </c>
      <c r="B642" s="78" t="s">
        <v>79</v>
      </c>
      <c r="D642" s="1139">
        <v>45473</v>
      </c>
      <c r="E642" s="1146" t="s">
        <v>741</v>
      </c>
      <c r="F642" s="756"/>
      <c r="G642" s="1065"/>
      <c r="H642" s="1065">
        <v>300</v>
      </c>
      <c r="I642" s="1065">
        <f t="shared" si="59"/>
        <v>-14986.502</v>
      </c>
      <c r="J642" s="74" t="s">
        <v>760</v>
      </c>
      <c r="K642" s="20">
        <v>6110</v>
      </c>
      <c r="L642" s="74" t="str">
        <f>VLOOKUP($J642,'[3]2 CODIFICATION'!A$5:B$30,2,"FAUX")</f>
        <v>EAU POTABLE</v>
      </c>
      <c r="M642" s="74" t="str">
        <f>VLOOKUP($K642,'[3]2 CODIFICATION'!D$7:E$61,2,"FAUX")</f>
        <v>Sous traitance projet</v>
      </c>
      <c r="N642" s="84">
        <f t="shared" si="62"/>
        <v>611000</v>
      </c>
      <c r="O642" s="1064">
        <f t="shared" si="64"/>
        <v>-300</v>
      </c>
      <c r="P642" s="84">
        <f t="shared" si="65"/>
        <v>2024</v>
      </c>
      <c r="Q642" s="1140" t="str">
        <f>VLOOKUP($N642,'[3]2 CODIFICATION'!$G$5:$L$70,3,FALSE)</f>
        <v xml:space="preserve">Sous-traitance générale </v>
      </c>
      <c r="R642" s="1141" t="str">
        <f>VLOOKUP($N642,'[3]2 CODIFICATION'!$G$5:$L$70,4,FALSE)</f>
        <v>chges</v>
      </c>
      <c r="S642" s="1141">
        <f>VLOOKUP($N642,'[3]2 CODIFICATION'!$G$5:$L$70,5,FALSE)</f>
        <v>61</v>
      </c>
      <c r="T642" s="1140" t="str">
        <f>VLOOKUP($N642,'[3]2 CODIFICATION'!$G$5:$L$70,6,FALSE)</f>
        <v>Services extérieurs</v>
      </c>
    </row>
    <row r="643" spans="1:20" s="1138" customFormat="1" hidden="1">
      <c r="A643" s="78" t="s">
        <v>724</v>
      </c>
      <c r="B643" s="78" t="s">
        <v>79</v>
      </c>
      <c r="D643" s="1139">
        <v>45473</v>
      </c>
      <c r="E643" s="744" t="s">
        <v>742</v>
      </c>
      <c r="F643" s="744"/>
      <c r="G643" s="1065"/>
      <c r="H643" s="1065">
        <v>400</v>
      </c>
      <c r="I643" s="1065">
        <f t="shared" si="59"/>
        <v>-15386.502</v>
      </c>
      <c r="J643" s="74" t="s">
        <v>760</v>
      </c>
      <c r="K643" s="20">
        <v>6110</v>
      </c>
      <c r="L643" s="74" t="str">
        <f>VLOOKUP($J643,'[3]2 CODIFICATION'!A$5:B$30,2,"FAUX")</f>
        <v>EAU POTABLE</v>
      </c>
      <c r="M643" s="74" t="str">
        <f>VLOOKUP($K643,'[3]2 CODIFICATION'!D$7:E$61,2,"FAUX")</f>
        <v>Sous traitance projet</v>
      </c>
      <c r="N643" s="84">
        <f t="shared" si="62"/>
        <v>611000</v>
      </c>
      <c r="O643" s="1064">
        <f t="shared" si="64"/>
        <v>-400</v>
      </c>
      <c r="P643" s="84">
        <f t="shared" si="65"/>
        <v>2024</v>
      </c>
      <c r="Q643" s="1140" t="str">
        <f>VLOOKUP($N643,'[3]2 CODIFICATION'!$G$5:$L$70,3,FALSE)</f>
        <v xml:space="preserve">Sous-traitance générale </v>
      </c>
      <c r="R643" s="1141" t="str">
        <f>VLOOKUP($N643,'[3]2 CODIFICATION'!$G$5:$L$70,4,FALSE)</f>
        <v>chges</v>
      </c>
      <c r="S643" s="1141">
        <f>VLOOKUP($N643,'[3]2 CODIFICATION'!$G$5:$L$70,5,FALSE)</f>
        <v>61</v>
      </c>
      <c r="T643" s="1140" t="str">
        <f>VLOOKUP($N643,'[3]2 CODIFICATION'!$G$5:$L$70,6,FALSE)</f>
        <v>Services extérieurs</v>
      </c>
    </row>
    <row r="644" spans="1:20" s="1138" customFormat="1" hidden="1">
      <c r="A644" s="78" t="s">
        <v>724</v>
      </c>
      <c r="B644" s="78" t="s">
        <v>79</v>
      </c>
      <c r="D644" s="1139">
        <v>45473</v>
      </c>
      <c r="E644" s="1147" t="s">
        <v>743</v>
      </c>
      <c r="F644" s="1147"/>
      <c r="G644" s="1065"/>
      <c r="H644" s="1065">
        <v>2750</v>
      </c>
      <c r="I644" s="1065">
        <f t="shared" si="59"/>
        <v>-18136.502</v>
      </c>
      <c r="J644" s="74" t="s">
        <v>760</v>
      </c>
      <c r="K644" s="20">
        <v>6110</v>
      </c>
      <c r="L644" s="74" t="str">
        <f>VLOOKUP($J644,'[3]2 CODIFICATION'!A$5:B$30,2,"FAUX")</f>
        <v>EAU POTABLE</v>
      </c>
      <c r="M644" s="74" t="str">
        <f>VLOOKUP($K644,'[3]2 CODIFICATION'!D$7:E$61,2,"FAUX")</f>
        <v>Sous traitance projet</v>
      </c>
      <c r="N644" s="84">
        <f t="shared" si="62"/>
        <v>611000</v>
      </c>
      <c r="O644" s="1064">
        <f t="shared" si="64"/>
        <v>-2750</v>
      </c>
      <c r="P644" s="84">
        <f t="shared" si="65"/>
        <v>2024</v>
      </c>
      <c r="Q644" s="1140" t="str">
        <f>VLOOKUP($N644,'[3]2 CODIFICATION'!$G$5:$L$70,3,FALSE)</f>
        <v xml:space="preserve">Sous-traitance générale </v>
      </c>
      <c r="R644" s="1141" t="str">
        <f>VLOOKUP($N644,'[3]2 CODIFICATION'!$G$5:$L$70,4,FALSE)</f>
        <v>chges</v>
      </c>
      <c r="S644" s="1141">
        <f>VLOOKUP($N644,'[3]2 CODIFICATION'!$G$5:$L$70,5,FALSE)</f>
        <v>61</v>
      </c>
      <c r="T644" s="1140" t="str">
        <f>VLOOKUP($N644,'[3]2 CODIFICATION'!$G$5:$L$70,6,FALSE)</f>
        <v>Services extérieurs</v>
      </c>
    </row>
    <row r="645" spans="1:20" s="1138" customFormat="1" ht="26" hidden="1">
      <c r="A645" s="78" t="s">
        <v>724</v>
      </c>
      <c r="B645" s="78" t="s">
        <v>79</v>
      </c>
      <c r="D645" s="1139">
        <v>45473</v>
      </c>
      <c r="E645" s="1148" t="s">
        <v>767</v>
      </c>
      <c r="F645" s="1149"/>
      <c r="G645" s="1065"/>
      <c r="H645" s="1065">
        <v>8275</v>
      </c>
      <c r="I645" s="1065">
        <f t="shared" si="59"/>
        <v>-26411.502</v>
      </c>
      <c r="J645" s="74" t="s">
        <v>760</v>
      </c>
      <c r="K645" s="20">
        <v>6110</v>
      </c>
      <c r="L645" s="74" t="str">
        <f>VLOOKUP($J645,'[3]2 CODIFICATION'!A$5:B$30,2,"FAUX")</f>
        <v>EAU POTABLE</v>
      </c>
      <c r="M645" s="74" t="str">
        <f>VLOOKUP($K645,'[3]2 CODIFICATION'!D$7:E$61,2,"FAUX")</f>
        <v>Sous traitance projet</v>
      </c>
      <c r="N645" s="84">
        <f t="shared" si="62"/>
        <v>611000</v>
      </c>
      <c r="O645" s="1064">
        <f t="shared" si="64"/>
        <v>-8275</v>
      </c>
      <c r="P645" s="84">
        <f t="shared" si="65"/>
        <v>2024</v>
      </c>
      <c r="Q645" s="1140" t="str">
        <f>VLOOKUP($N645,'[3]2 CODIFICATION'!$G$5:$L$70,3,FALSE)</f>
        <v xml:space="preserve">Sous-traitance générale </v>
      </c>
      <c r="R645" s="1141" t="str">
        <f>VLOOKUP($N645,'[3]2 CODIFICATION'!$G$5:$L$70,4,FALSE)</f>
        <v>chges</v>
      </c>
      <c r="S645" s="1141">
        <f>VLOOKUP($N645,'[3]2 CODIFICATION'!$G$5:$L$70,5,FALSE)</f>
        <v>61</v>
      </c>
      <c r="T645" s="1140" t="str">
        <f>VLOOKUP($N645,'[3]2 CODIFICATION'!$G$5:$L$70,6,FALSE)</f>
        <v>Services extérieurs</v>
      </c>
    </row>
    <row r="646" spans="1:20" s="1138" customFormat="1" ht="26" hidden="1">
      <c r="A646" s="78" t="s">
        <v>724</v>
      </c>
      <c r="B646" s="78" t="s">
        <v>79</v>
      </c>
      <c r="D646" s="1139">
        <v>45473</v>
      </c>
      <c r="E646" s="1066" t="s">
        <v>768</v>
      </c>
      <c r="F646" s="758"/>
      <c r="G646" s="1065"/>
      <c r="H646" s="1065">
        <v>200</v>
      </c>
      <c r="I646" s="1065">
        <f t="shared" si="59"/>
        <v>-26611.502</v>
      </c>
      <c r="J646" s="74" t="s">
        <v>760</v>
      </c>
      <c r="K646" s="20">
        <v>6228</v>
      </c>
      <c r="L646" s="74" t="str">
        <f>VLOOKUP($J646,'[3]2 CODIFICATION'!A$5:B$30,2,"FAUX")</f>
        <v>EAU POTABLE</v>
      </c>
      <c r="M646" s="74" t="str">
        <f>VLOOKUP($K646,'[3]2 CODIFICATION'!D$7:E$61,2,"FAUX")</f>
        <v>formation</v>
      </c>
      <c r="N646" s="84">
        <f t="shared" si="62"/>
        <v>622800</v>
      </c>
      <c r="O646" s="1064">
        <f t="shared" si="64"/>
        <v>-200</v>
      </c>
      <c r="P646" s="84">
        <f t="shared" si="65"/>
        <v>2024</v>
      </c>
      <c r="Q646" s="1140" t="str">
        <f>VLOOKUP($N646,'[3]2 CODIFICATION'!$G$5:$L$70,3,FALSE)</f>
        <v>Frais de formation</v>
      </c>
      <c r="R646" s="1141" t="str">
        <f>VLOOKUP($N646,'[3]2 CODIFICATION'!$G$5:$L$70,4,FALSE)</f>
        <v>chges</v>
      </c>
      <c r="S646" s="1141">
        <f>VLOOKUP($N646,'[3]2 CODIFICATION'!$G$5:$L$70,5,FALSE)</f>
        <v>62</v>
      </c>
      <c r="T646" s="1140" t="str">
        <f>VLOOKUP($N646,'[3]2 CODIFICATION'!$G$5:$L$70,6,FALSE)</f>
        <v>Autres services extérieurs</v>
      </c>
    </row>
    <row r="647" spans="1:20" s="1138" customFormat="1" ht="37.5" hidden="1">
      <c r="A647" s="78" t="s">
        <v>724</v>
      </c>
      <c r="B647" s="78" t="s">
        <v>79</v>
      </c>
      <c r="D647" s="1139">
        <v>45473</v>
      </c>
      <c r="E647" s="1150" t="s">
        <v>744</v>
      </c>
      <c r="F647" s="759"/>
      <c r="G647" s="1065"/>
      <c r="H647" s="1065">
        <v>362.5</v>
      </c>
      <c r="I647" s="1065">
        <f t="shared" si="59"/>
        <v>-26974.002</v>
      </c>
      <c r="J647" s="74" t="s">
        <v>760</v>
      </c>
      <c r="K647" s="20">
        <v>6228</v>
      </c>
      <c r="L647" s="74" t="str">
        <f>VLOOKUP($J647,'[3]2 CODIFICATION'!A$5:B$30,2,"FAUX")</f>
        <v>EAU POTABLE</v>
      </c>
      <c r="M647" s="74" t="str">
        <f>VLOOKUP($K647,'[3]2 CODIFICATION'!D$7:E$61,2,"FAUX")</f>
        <v>formation</v>
      </c>
      <c r="N647" s="84">
        <f t="shared" si="62"/>
        <v>622800</v>
      </c>
      <c r="O647" s="1064">
        <f t="shared" si="64"/>
        <v>-362.5</v>
      </c>
      <c r="P647" s="84">
        <f t="shared" si="65"/>
        <v>2024</v>
      </c>
      <c r="Q647" s="1140" t="str">
        <f>VLOOKUP($N647,'[3]2 CODIFICATION'!$G$5:$L$70,3,FALSE)</f>
        <v>Frais de formation</v>
      </c>
      <c r="R647" s="1141" t="str">
        <f>VLOOKUP($N647,'[3]2 CODIFICATION'!$G$5:$L$70,4,FALSE)</f>
        <v>chges</v>
      </c>
      <c r="S647" s="1141">
        <f>VLOOKUP($N647,'[3]2 CODIFICATION'!$G$5:$L$70,5,FALSE)</f>
        <v>62</v>
      </c>
      <c r="T647" s="1140" t="str">
        <f>VLOOKUP($N647,'[3]2 CODIFICATION'!$G$5:$L$70,6,FALSE)</f>
        <v>Autres services extérieurs</v>
      </c>
    </row>
    <row r="648" spans="1:20" s="1138" customFormat="1" ht="38.5" hidden="1">
      <c r="A648" s="78" t="s">
        <v>724</v>
      </c>
      <c r="B648" s="78" t="s">
        <v>79</v>
      </c>
      <c r="D648" s="1139">
        <v>45473</v>
      </c>
      <c r="E648" s="1066" t="s">
        <v>745</v>
      </c>
      <c r="F648" s="758"/>
      <c r="G648" s="1065"/>
      <c r="H648" s="1065">
        <v>450</v>
      </c>
      <c r="I648" s="1065">
        <f t="shared" si="59"/>
        <v>-27424.002</v>
      </c>
      <c r="J648" s="74" t="s">
        <v>760</v>
      </c>
      <c r="K648" s="20">
        <v>6228</v>
      </c>
      <c r="L648" s="74" t="str">
        <f>VLOOKUP($J648,'[3]2 CODIFICATION'!A$5:B$30,2,"FAUX")</f>
        <v>EAU POTABLE</v>
      </c>
      <c r="M648" s="74" t="str">
        <f>VLOOKUP($K648,'[3]2 CODIFICATION'!D$7:E$61,2,"FAUX")</f>
        <v>formation</v>
      </c>
      <c r="N648" s="84">
        <f t="shared" si="62"/>
        <v>622800</v>
      </c>
      <c r="O648" s="1064">
        <f t="shared" si="64"/>
        <v>-450</v>
      </c>
      <c r="P648" s="84">
        <f t="shared" si="65"/>
        <v>2024</v>
      </c>
      <c r="Q648" s="1140" t="str">
        <f>VLOOKUP($N648,'[3]2 CODIFICATION'!$G$5:$L$70,3,FALSE)</f>
        <v>Frais de formation</v>
      </c>
      <c r="R648" s="1141" t="str">
        <f>VLOOKUP($N648,'[3]2 CODIFICATION'!$G$5:$L$70,4,FALSE)</f>
        <v>chges</v>
      </c>
      <c r="S648" s="1141">
        <f>VLOOKUP($N648,'[3]2 CODIFICATION'!$G$5:$L$70,5,FALSE)</f>
        <v>62</v>
      </c>
      <c r="T648" s="1140" t="str">
        <f>VLOOKUP($N648,'[3]2 CODIFICATION'!$G$5:$L$70,6,FALSE)</f>
        <v>Autres services extérieurs</v>
      </c>
    </row>
    <row r="649" spans="1:20" s="1138" customFormat="1" ht="38.5" hidden="1">
      <c r="A649" s="78" t="s">
        <v>724</v>
      </c>
      <c r="B649" s="78" t="s">
        <v>79</v>
      </c>
      <c r="D649" s="1139">
        <v>45473</v>
      </c>
      <c r="E649" s="1066" t="s">
        <v>746</v>
      </c>
      <c r="F649" s="758"/>
      <c r="G649" s="1065"/>
      <c r="H649" s="1065">
        <v>500</v>
      </c>
      <c r="I649" s="1065">
        <f t="shared" si="59"/>
        <v>-27924.002</v>
      </c>
      <c r="J649" s="74" t="s">
        <v>760</v>
      </c>
      <c r="K649" s="20">
        <v>6228</v>
      </c>
      <c r="L649" s="74" t="str">
        <f>VLOOKUP($J649,'[3]2 CODIFICATION'!A$5:B$30,2,"FAUX")</f>
        <v>EAU POTABLE</v>
      </c>
      <c r="M649" s="74" t="str">
        <f>VLOOKUP($K649,'[3]2 CODIFICATION'!D$7:E$61,2,"FAUX")</f>
        <v>formation</v>
      </c>
      <c r="N649" s="84">
        <f t="shared" si="62"/>
        <v>622800</v>
      </c>
      <c r="O649" s="1064">
        <f t="shared" si="64"/>
        <v>-500</v>
      </c>
      <c r="P649" s="84">
        <f t="shared" si="65"/>
        <v>2024</v>
      </c>
      <c r="Q649" s="1140" t="str">
        <f>VLOOKUP($N649,'[3]2 CODIFICATION'!$G$5:$L$70,3,FALSE)</f>
        <v>Frais de formation</v>
      </c>
      <c r="R649" s="1141" t="str">
        <f>VLOOKUP($N649,'[3]2 CODIFICATION'!$G$5:$L$70,4,FALSE)</f>
        <v>chges</v>
      </c>
      <c r="S649" s="1141">
        <f>VLOOKUP($N649,'[3]2 CODIFICATION'!$G$5:$L$70,5,FALSE)</f>
        <v>62</v>
      </c>
      <c r="T649" s="1140" t="str">
        <f>VLOOKUP($N649,'[3]2 CODIFICATION'!$G$5:$L$70,6,FALSE)</f>
        <v>Autres services extérieurs</v>
      </c>
    </row>
    <row r="650" spans="1:20" s="1138" customFormat="1" ht="38.5" hidden="1">
      <c r="A650" s="78" t="s">
        <v>724</v>
      </c>
      <c r="B650" s="78" t="s">
        <v>79</v>
      </c>
      <c r="D650" s="1139">
        <v>45473</v>
      </c>
      <c r="E650" s="1066" t="s">
        <v>747</v>
      </c>
      <c r="F650" s="758"/>
      <c r="G650" s="1065"/>
      <c r="H650" s="1065">
        <v>300</v>
      </c>
      <c r="I650" s="1065">
        <f t="shared" si="59"/>
        <v>-28224.002</v>
      </c>
      <c r="J650" s="74" t="s">
        <v>760</v>
      </c>
      <c r="K650" s="20">
        <v>6110</v>
      </c>
      <c r="L650" s="74" t="str">
        <f>VLOOKUP($J650,'[3]2 CODIFICATION'!A$5:B$30,2,"FAUX")</f>
        <v>EAU POTABLE</v>
      </c>
      <c r="M650" s="74" t="str">
        <f>VLOOKUP($K650,'[3]2 CODIFICATION'!D$7:E$61,2,"FAUX")</f>
        <v>Sous traitance projet</v>
      </c>
      <c r="N650" s="84">
        <f t="shared" si="62"/>
        <v>611000</v>
      </c>
      <c r="O650" s="1064">
        <f t="shared" si="64"/>
        <v>-300</v>
      </c>
      <c r="P650" s="84">
        <f t="shared" si="65"/>
        <v>2024</v>
      </c>
      <c r="Q650" s="1140" t="str">
        <f>VLOOKUP($N650,'[3]2 CODIFICATION'!$G$5:$L$70,3,FALSE)</f>
        <v xml:space="preserve">Sous-traitance générale </v>
      </c>
      <c r="R650" s="1141" t="str">
        <f>VLOOKUP($N650,'[3]2 CODIFICATION'!$G$5:$L$70,4,FALSE)</f>
        <v>chges</v>
      </c>
      <c r="S650" s="1141">
        <f>VLOOKUP($N650,'[3]2 CODIFICATION'!$G$5:$L$70,5,FALSE)</f>
        <v>61</v>
      </c>
      <c r="T650" s="1140" t="str">
        <f>VLOOKUP($N650,'[3]2 CODIFICATION'!$G$5:$L$70,6,FALSE)</f>
        <v>Services extérieurs</v>
      </c>
    </row>
    <row r="651" spans="1:20" s="1138" customFormat="1" hidden="1">
      <c r="A651" s="78" t="s">
        <v>724</v>
      </c>
      <c r="B651" s="78" t="s">
        <v>79</v>
      </c>
      <c r="D651" s="1139">
        <v>45473</v>
      </c>
      <c r="E651" s="1067" t="s">
        <v>748</v>
      </c>
      <c r="F651" s="737"/>
      <c r="G651" s="1065"/>
      <c r="H651" s="1065">
        <v>75</v>
      </c>
      <c r="I651" s="1065">
        <f t="shared" si="59"/>
        <v>-28299.002</v>
      </c>
      <c r="J651" s="74" t="s">
        <v>760</v>
      </c>
      <c r="K651" s="20">
        <v>6110</v>
      </c>
      <c r="L651" s="74" t="str">
        <f>VLOOKUP($J651,'[3]2 CODIFICATION'!A$5:B$30,2,"FAUX")</f>
        <v>EAU POTABLE</v>
      </c>
      <c r="M651" s="74" t="str">
        <f>VLOOKUP($K651,'[3]2 CODIFICATION'!D$7:E$61,2,"FAUX")</f>
        <v>Sous traitance projet</v>
      </c>
      <c r="N651" s="84">
        <f t="shared" si="62"/>
        <v>611000</v>
      </c>
      <c r="O651" s="1064">
        <f t="shared" si="64"/>
        <v>-75</v>
      </c>
      <c r="P651" s="84">
        <f t="shared" si="65"/>
        <v>2024</v>
      </c>
      <c r="Q651" s="1140" t="str">
        <f>VLOOKUP($N651,'[3]2 CODIFICATION'!$G$5:$L$70,3,FALSE)</f>
        <v xml:space="preserve">Sous-traitance générale </v>
      </c>
      <c r="R651" s="1141" t="str">
        <f>VLOOKUP($N651,'[3]2 CODIFICATION'!$G$5:$L$70,4,FALSE)</f>
        <v>chges</v>
      </c>
      <c r="S651" s="1141">
        <f>VLOOKUP($N651,'[3]2 CODIFICATION'!$G$5:$L$70,5,FALSE)</f>
        <v>61</v>
      </c>
      <c r="T651" s="1140" t="str">
        <f>VLOOKUP($N651,'[3]2 CODIFICATION'!$G$5:$L$70,6,FALSE)</f>
        <v>Services extérieurs</v>
      </c>
    </row>
    <row r="652" spans="1:20" s="1138" customFormat="1" hidden="1">
      <c r="A652" s="78" t="s">
        <v>724</v>
      </c>
      <c r="B652" s="78" t="s">
        <v>79</v>
      </c>
      <c r="D652" s="1139">
        <v>45473</v>
      </c>
      <c r="E652" s="1151" t="s">
        <v>749</v>
      </c>
      <c r="F652" s="1151"/>
      <c r="G652" s="1065"/>
      <c r="H652" s="1065">
        <v>450</v>
      </c>
      <c r="I652" s="1065">
        <f t="shared" ref="I652:I663" si="66">I651+G652-H652</f>
        <v>-28749.002</v>
      </c>
      <c r="J652" s="74" t="s">
        <v>760</v>
      </c>
      <c r="K652" s="20">
        <v>6230</v>
      </c>
      <c r="L652" s="74" t="str">
        <f>VLOOKUP($J652,'[3]2 CODIFICATION'!A$5:B$30,2,"FAUX")</f>
        <v>EAU POTABLE</v>
      </c>
      <c r="M652" s="74" t="str">
        <f>VLOOKUP($K652,'[3]2 CODIFICATION'!D$7:E$61,2,"FAUX")</f>
        <v>communication</v>
      </c>
      <c r="N652" s="84">
        <f t="shared" si="62"/>
        <v>623000</v>
      </c>
      <c r="O652" s="1064">
        <f t="shared" si="64"/>
        <v>-450</v>
      </c>
      <c r="P652" s="84">
        <f t="shared" si="65"/>
        <v>2024</v>
      </c>
      <c r="Q652" s="1140" t="str">
        <f>VLOOKUP($N652,'[3]2 CODIFICATION'!$G$5:$L$70,3,FALSE)</f>
        <v>Publicité, publications, Création de site web</v>
      </c>
      <c r="R652" s="1141" t="str">
        <f>VLOOKUP($N652,'[3]2 CODIFICATION'!$G$5:$L$70,4,FALSE)</f>
        <v>chges</v>
      </c>
      <c r="S652" s="1141">
        <f>VLOOKUP($N652,'[3]2 CODIFICATION'!$G$5:$L$70,5,FALSE)</f>
        <v>62</v>
      </c>
      <c r="T652" s="1140" t="str">
        <f>VLOOKUP($N652,'[3]2 CODIFICATION'!$G$5:$L$70,6,FALSE)</f>
        <v>Autres services extérieurs</v>
      </c>
    </row>
    <row r="653" spans="1:20" s="1138" customFormat="1" hidden="1">
      <c r="A653" s="78" t="s">
        <v>724</v>
      </c>
      <c r="B653" s="78" t="s">
        <v>79</v>
      </c>
      <c r="D653" s="1139">
        <v>45473</v>
      </c>
      <c r="E653" s="1147" t="s">
        <v>751</v>
      </c>
      <c r="F653" s="1147"/>
      <c r="G653" s="1065"/>
      <c r="H653" s="1065">
        <v>250</v>
      </c>
      <c r="I653" s="1065">
        <f t="shared" si="66"/>
        <v>-28999.002</v>
      </c>
      <c r="J653" s="74" t="s">
        <v>760</v>
      </c>
      <c r="K653" s="20">
        <v>6110</v>
      </c>
      <c r="L653" s="74" t="str">
        <f>VLOOKUP($J653,'[3]2 CODIFICATION'!A$5:B$30,2,"FAUX")</f>
        <v>EAU POTABLE</v>
      </c>
      <c r="M653" s="74" t="str">
        <f>VLOOKUP($K653,'[3]2 CODIFICATION'!D$7:E$61,2,"FAUX")</f>
        <v>Sous traitance projet</v>
      </c>
      <c r="N653" s="84">
        <f t="shared" si="62"/>
        <v>611000</v>
      </c>
      <c r="O653" s="1064">
        <f t="shared" si="64"/>
        <v>-250</v>
      </c>
      <c r="P653" s="84">
        <f t="shared" si="65"/>
        <v>2024</v>
      </c>
      <c r="Q653" s="1140" t="str">
        <f>VLOOKUP($N653,'[3]2 CODIFICATION'!$G$5:$L$70,3,FALSE)</f>
        <v xml:space="preserve">Sous-traitance générale </v>
      </c>
      <c r="R653" s="1141" t="str">
        <f>VLOOKUP($N653,'[3]2 CODIFICATION'!$G$5:$L$70,4,FALSE)</f>
        <v>chges</v>
      </c>
      <c r="S653" s="1141">
        <f>VLOOKUP($N653,'[3]2 CODIFICATION'!$G$5:$L$70,5,FALSE)</f>
        <v>61</v>
      </c>
      <c r="T653" s="1140" t="str">
        <f>VLOOKUP($N653,'[3]2 CODIFICATION'!$G$5:$L$70,6,FALSE)</f>
        <v>Services extérieurs</v>
      </c>
    </row>
    <row r="654" spans="1:20" s="1138" customFormat="1" hidden="1">
      <c r="A654" s="78" t="s">
        <v>724</v>
      </c>
      <c r="B654" s="78" t="s">
        <v>79</v>
      </c>
      <c r="D654" s="1139">
        <v>45473</v>
      </c>
      <c r="E654" s="1068" t="s">
        <v>753</v>
      </c>
      <c r="F654" s="1068"/>
      <c r="G654" s="1065"/>
      <c r="H654" s="1065">
        <v>450</v>
      </c>
      <c r="I654" s="1065">
        <f t="shared" si="66"/>
        <v>-29449.002</v>
      </c>
      <c r="J654" s="74" t="s">
        <v>760</v>
      </c>
      <c r="K654" s="20">
        <v>6110</v>
      </c>
      <c r="L654" s="74" t="str">
        <f>VLOOKUP($J654,'[3]2 CODIFICATION'!A$5:B$30,2,"FAUX")</f>
        <v>EAU POTABLE</v>
      </c>
      <c r="M654" s="74" t="str">
        <f>VLOOKUP($K654,'[3]2 CODIFICATION'!D$7:E$61,2,"FAUX")</f>
        <v>Sous traitance projet</v>
      </c>
      <c r="N654" s="84">
        <f t="shared" si="62"/>
        <v>611000</v>
      </c>
      <c r="O654" s="1064">
        <f t="shared" si="64"/>
        <v>-450</v>
      </c>
      <c r="P654" s="84">
        <f t="shared" si="65"/>
        <v>2024</v>
      </c>
      <c r="Q654" s="1140" t="str">
        <f>VLOOKUP($N654,'[3]2 CODIFICATION'!$G$5:$L$70,3,FALSE)</f>
        <v xml:space="preserve">Sous-traitance générale </v>
      </c>
      <c r="R654" s="1141" t="str">
        <f>VLOOKUP($N654,'[3]2 CODIFICATION'!$G$5:$L$70,4,FALSE)</f>
        <v>chges</v>
      </c>
      <c r="S654" s="1141">
        <f>VLOOKUP($N654,'[3]2 CODIFICATION'!$G$5:$L$70,5,FALSE)</f>
        <v>61</v>
      </c>
      <c r="T654" s="1140" t="str">
        <f>VLOOKUP($N654,'[3]2 CODIFICATION'!$G$5:$L$70,6,FALSE)</f>
        <v>Services extérieurs</v>
      </c>
    </row>
    <row r="655" spans="1:20" s="1138" customFormat="1" hidden="1">
      <c r="A655" s="78" t="s">
        <v>724</v>
      </c>
      <c r="B655" s="78" t="s">
        <v>79</v>
      </c>
      <c r="D655" s="1139">
        <v>45473</v>
      </c>
      <c r="E655" s="1068" t="s">
        <v>755</v>
      </c>
      <c r="F655" s="1068"/>
      <c r="G655" s="1065"/>
      <c r="H655" s="1065">
        <v>337.5</v>
      </c>
      <c r="I655" s="1065">
        <f t="shared" si="66"/>
        <v>-29786.502</v>
      </c>
      <c r="J655" s="74" t="s">
        <v>760</v>
      </c>
      <c r="K655" s="20">
        <v>6110</v>
      </c>
      <c r="L655" s="74" t="str">
        <f>VLOOKUP($J655,'[3]2 CODIFICATION'!A$5:B$30,2,"FAUX")</f>
        <v>EAU POTABLE</v>
      </c>
      <c r="M655" s="74" t="str">
        <f>VLOOKUP($K655,'[3]2 CODIFICATION'!D$7:E$61,2,"FAUX")</f>
        <v>Sous traitance projet</v>
      </c>
      <c r="N655" s="84">
        <f t="shared" si="62"/>
        <v>611000</v>
      </c>
      <c r="O655" s="1064">
        <f t="shared" si="64"/>
        <v>-337.5</v>
      </c>
      <c r="P655" s="84">
        <f t="shared" si="65"/>
        <v>2024</v>
      </c>
      <c r="Q655" s="1140" t="str">
        <f>VLOOKUP($N655,'[3]2 CODIFICATION'!$G$5:$L$70,3,FALSE)</f>
        <v xml:space="preserve">Sous-traitance générale </v>
      </c>
      <c r="R655" s="1141" t="str">
        <f>VLOOKUP($N655,'[3]2 CODIFICATION'!$G$5:$L$70,4,FALSE)</f>
        <v>chges</v>
      </c>
      <c r="S655" s="1141">
        <f>VLOOKUP($N655,'[3]2 CODIFICATION'!$G$5:$L$70,5,FALSE)</f>
        <v>61</v>
      </c>
      <c r="T655" s="1140" t="str">
        <f>VLOOKUP($N655,'[3]2 CODIFICATION'!$G$5:$L$70,6,FALSE)</f>
        <v>Services extérieurs</v>
      </c>
    </row>
    <row r="656" spans="1:20" s="1138" customFormat="1" hidden="1">
      <c r="A656" s="78" t="s">
        <v>724</v>
      </c>
      <c r="B656" s="78" t="s">
        <v>79</v>
      </c>
      <c r="D656" s="1139">
        <v>45473</v>
      </c>
      <c r="E656" s="1068" t="s">
        <v>756</v>
      </c>
      <c r="F656" s="1068"/>
      <c r="G656" s="1065"/>
      <c r="H656" s="1065">
        <v>325</v>
      </c>
      <c r="I656" s="1065">
        <f t="shared" si="66"/>
        <v>-30111.502</v>
      </c>
      <c r="J656" s="74" t="s">
        <v>760</v>
      </c>
      <c r="K656" s="20">
        <v>6110</v>
      </c>
      <c r="L656" s="74" t="str">
        <f>VLOOKUP($J656,'[3]2 CODIFICATION'!A$5:B$30,2,"FAUX")</f>
        <v>EAU POTABLE</v>
      </c>
      <c r="M656" s="74" t="str">
        <f>VLOOKUP($K656,'[3]2 CODIFICATION'!D$7:E$61,2,"FAUX")</f>
        <v>Sous traitance projet</v>
      </c>
      <c r="N656" s="84">
        <f t="shared" si="62"/>
        <v>611000</v>
      </c>
      <c r="O656" s="1064">
        <f t="shared" si="64"/>
        <v>-325</v>
      </c>
      <c r="P656" s="84">
        <f t="shared" si="65"/>
        <v>2024</v>
      </c>
      <c r="Q656" s="1140" t="str">
        <f>VLOOKUP($N656,'[3]2 CODIFICATION'!$G$5:$L$70,3,FALSE)</f>
        <v xml:space="preserve">Sous-traitance générale </v>
      </c>
      <c r="R656" s="1141" t="str">
        <f>VLOOKUP($N656,'[3]2 CODIFICATION'!$G$5:$L$70,4,FALSE)</f>
        <v>chges</v>
      </c>
      <c r="S656" s="1141">
        <f>VLOOKUP($N656,'[3]2 CODIFICATION'!$G$5:$L$70,5,FALSE)</f>
        <v>61</v>
      </c>
      <c r="T656" s="1140" t="str">
        <f>VLOOKUP($N656,'[3]2 CODIFICATION'!$G$5:$L$70,6,FALSE)</f>
        <v>Services extérieurs</v>
      </c>
    </row>
    <row r="657" spans="1:20" s="1138" customFormat="1" ht="26" hidden="1">
      <c r="A657" s="78" t="s">
        <v>724</v>
      </c>
      <c r="B657" s="78" t="s">
        <v>79</v>
      </c>
      <c r="D657" s="1139">
        <v>45473</v>
      </c>
      <c r="E657" s="1152" t="s">
        <v>757</v>
      </c>
      <c r="F657" s="1152"/>
      <c r="G657" s="1065"/>
      <c r="H657" s="1065">
        <v>200</v>
      </c>
      <c r="I657" s="1065">
        <f t="shared" si="66"/>
        <v>-30311.502</v>
      </c>
      <c r="J657" s="74" t="s">
        <v>760</v>
      </c>
      <c r="K657" s="20">
        <v>6110</v>
      </c>
      <c r="L657" s="74" t="str">
        <f>VLOOKUP($J657,'[3]2 CODIFICATION'!A$5:B$30,2,"FAUX")</f>
        <v>EAU POTABLE</v>
      </c>
      <c r="M657" s="74" t="str">
        <f>VLOOKUP($K657,'[3]2 CODIFICATION'!D$7:E$61,2,"FAUX")</f>
        <v>Sous traitance projet</v>
      </c>
      <c r="N657" s="84">
        <f t="shared" si="62"/>
        <v>611000</v>
      </c>
      <c r="O657" s="1064">
        <f t="shared" si="64"/>
        <v>-200</v>
      </c>
      <c r="P657" s="84">
        <f t="shared" si="65"/>
        <v>2024</v>
      </c>
      <c r="Q657" s="1140" t="str">
        <f>VLOOKUP($N657,'[3]2 CODIFICATION'!$G$5:$L$70,3,FALSE)</f>
        <v xml:space="preserve">Sous-traitance générale </v>
      </c>
      <c r="R657" s="1141" t="str">
        <f>VLOOKUP($N657,'[3]2 CODIFICATION'!$G$5:$L$70,4,FALSE)</f>
        <v>chges</v>
      </c>
      <c r="S657" s="1141">
        <f>VLOOKUP($N657,'[3]2 CODIFICATION'!$G$5:$L$70,5,FALSE)</f>
        <v>61</v>
      </c>
      <c r="T657" s="1140" t="str">
        <f>VLOOKUP($N657,'[3]2 CODIFICATION'!$G$5:$L$70,6,FALSE)</f>
        <v>Services extérieurs</v>
      </c>
    </row>
    <row r="658" spans="1:20" s="1138" customFormat="1" hidden="1">
      <c r="A658" s="78" t="s">
        <v>724</v>
      </c>
      <c r="B658" s="78" t="s">
        <v>79</v>
      </c>
      <c r="D658" s="1139">
        <v>45473</v>
      </c>
      <c r="E658" s="1069" t="s">
        <v>758</v>
      </c>
      <c r="F658" s="1069"/>
      <c r="G658" s="1065"/>
      <c r="H658" s="1065">
        <v>1087.5</v>
      </c>
      <c r="I658" s="1065">
        <f t="shared" si="66"/>
        <v>-31399.002</v>
      </c>
      <c r="J658" s="74" t="s">
        <v>760</v>
      </c>
      <c r="K658" s="20">
        <v>8620</v>
      </c>
      <c r="L658" s="74" t="str">
        <f>VLOOKUP($J658,'[3]2 CODIFICATION'!A$5:B$30,2,"FAUX")</f>
        <v>EAU POTABLE</v>
      </c>
      <c r="M658" s="74" t="str">
        <f>VLOOKUP($K658,'[3]2 CODIFICATION'!D$7:E$61,2,"FAUX")</f>
        <v>Prestations</v>
      </c>
      <c r="N658" s="84">
        <f t="shared" si="62"/>
        <v>862000</v>
      </c>
      <c r="O658" s="1064">
        <f t="shared" si="64"/>
        <v>-1087.5</v>
      </c>
      <c r="P658" s="84">
        <f t="shared" si="65"/>
        <v>2024</v>
      </c>
      <c r="Q658" s="1140" t="str">
        <f>VLOOKUP($N658,'[3]2 CODIFICATION'!$G$5:$L$70,3,FALSE)</f>
        <v>Prestations</v>
      </c>
      <c r="R658" s="1141" t="str">
        <f>VLOOKUP($N658,'[3]2 CODIFICATION'!$G$5:$L$70,4,FALSE)</f>
        <v>chges</v>
      </c>
      <c r="S658" s="1141">
        <f>VLOOKUP($N658,'[3]2 CODIFICATION'!$G$5:$L$70,5,FALSE)</f>
        <v>86</v>
      </c>
      <c r="T658" s="1140" t="str">
        <f>VLOOKUP($N658,'[3]2 CODIFICATION'!$G$5:$L$70,6,FALSE)</f>
        <v>Emplois des contributions volontaires</v>
      </c>
    </row>
    <row r="659" spans="1:20" s="1138" customFormat="1" ht="15.5" hidden="1">
      <c r="A659" s="78" t="s">
        <v>724</v>
      </c>
      <c r="B659" s="78" t="s">
        <v>79</v>
      </c>
      <c r="D659" s="1139">
        <v>45473</v>
      </c>
      <c r="E659" s="1153" t="s">
        <v>734</v>
      </c>
      <c r="F659" s="1154"/>
      <c r="G659" s="1065"/>
      <c r="H659" s="1065"/>
      <c r="I659" s="1065">
        <f t="shared" si="66"/>
        <v>-31399.002</v>
      </c>
      <c r="J659" s="74" t="s">
        <v>760</v>
      </c>
      <c r="K659" s="20">
        <v>7770</v>
      </c>
      <c r="L659" s="74" t="str">
        <f>VLOOKUP($J659,'[3]2 CODIFICATION'!A$5:B$30,2,"FAUX")</f>
        <v>EAU POTABLE</v>
      </c>
      <c r="M659" s="74" t="str">
        <f>VLOOKUP($K659,'[3]2 CODIFICATION'!D$7:E$61,2,"FAUX")</f>
        <v>Produits exceptionnels</v>
      </c>
      <c r="N659" s="84">
        <f t="shared" si="62"/>
        <v>777000</v>
      </c>
      <c r="O659" s="1064">
        <f t="shared" si="64"/>
        <v>0</v>
      </c>
      <c r="P659" s="84">
        <f t="shared" si="65"/>
        <v>2024</v>
      </c>
      <c r="Q659" s="1140" t="str">
        <f>VLOOKUP($N659,'[3]2 CODIFICATION'!$G$5:$L$70,3,FALSE)</f>
        <v>Produits exceptionnels</v>
      </c>
      <c r="R659" s="1141" t="str">
        <f>VLOOKUP($N659,'[3]2 CODIFICATION'!$G$5:$L$70,4,FALSE)</f>
        <v>pdts</v>
      </c>
      <c r="S659" s="1141">
        <f>VLOOKUP($N659,'[3]2 CODIFICATION'!$G$5:$L$70,5,FALSE)</f>
        <v>77</v>
      </c>
      <c r="T659" s="1140" t="str">
        <f>VLOOKUP($N659,'[3]2 CODIFICATION'!$G$5:$L$70,6,FALSE)</f>
        <v>Produits exceptionnels</v>
      </c>
    </row>
    <row r="660" spans="1:20" s="1138" customFormat="1" hidden="1">
      <c r="A660" s="78" t="s">
        <v>724</v>
      </c>
      <c r="B660" s="78" t="s">
        <v>79</v>
      </c>
      <c r="D660" s="1139">
        <v>45473</v>
      </c>
      <c r="E660" s="1070" t="s">
        <v>888</v>
      </c>
      <c r="F660" s="1071"/>
      <c r="G660" s="1065">
        <v>875</v>
      </c>
      <c r="H660" s="1065"/>
      <c r="I660" s="1065">
        <f>I657+G660-H660</f>
        <v>-29436.502</v>
      </c>
      <c r="J660" s="74" t="s">
        <v>760</v>
      </c>
      <c r="K660" s="20">
        <v>7480</v>
      </c>
      <c r="L660" s="74" t="str">
        <f>VLOOKUP($J660,'[3]2 CODIFICATION'!A$5:B$30,2,"FAUX")</f>
        <v>EAU POTABLE</v>
      </c>
      <c r="M660" s="74" t="str">
        <f>VLOOKUP($K660,'[3]2 CODIFICATION'!D$7:E$61,2,"FAUX")</f>
        <v>Subventions Fraternité</v>
      </c>
      <c r="N660" s="84">
        <f t="shared" ref="N660:N666" si="67">+K660*100</f>
        <v>748000</v>
      </c>
      <c r="O660" s="1064">
        <f t="shared" si="64"/>
        <v>875</v>
      </c>
      <c r="P660" s="84">
        <f t="shared" si="65"/>
        <v>2024</v>
      </c>
      <c r="Q660" s="1140" t="str">
        <f>VLOOKUP($N660,'[3]2 CODIFICATION'!$G$5:$L$70,3,FALSE)</f>
        <v>Mairie de Teuillac</v>
      </c>
      <c r="R660" s="1141" t="str">
        <f>VLOOKUP($N660,'[3]2 CODIFICATION'!$G$5:$L$70,4,FALSE)</f>
        <v>pdts</v>
      </c>
      <c r="S660" s="1141">
        <f>VLOOKUP($N660,'[3]2 CODIFICATION'!$G$5:$L$70,5,FALSE)</f>
        <v>74</v>
      </c>
      <c r="T660" s="1140" t="str">
        <f>VLOOKUP($N660,'[3]2 CODIFICATION'!$G$5:$L$70,6,FALSE)</f>
        <v>Subventions d'exploitation</v>
      </c>
    </row>
    <row r="661" spans="1:20" s="1138" customFormat="1" hidden="1">
      <c r="A661" s="78" t="s">
        <v>875</v>
      </c>
      <c r="B661" s="78" t="s">
        <v>79</v>
      </c>
      <c r="D661" s="1139">
        <v>45473</v>
      </c>
      <c r="E661" s="1070" t="s">
        <v>888</v>
      </c>
      <c r="F661" s="1071"/>
      <c r="G661" s="1065"/>
      <c r="H661" s="1065"/>
      <c r="I661" s="1065">
        <f>I658+G661-H661</f>
        <v>-31399.002</v>
      </c>
      <c r="J661" s="74" t="s">
        <v>760</v>
      </c>
      <c r="K661" s="20">
        <v>7480</v>
      </c>
      <c r="L661" s="74" t="str">
        <f>VLOOKUP($J661,'[3]2 CODIFICATION'!A$5:B$30,2,"FAUX")</f>
        <v>EAU POTABLE</v>
      </c>
      <c r="M661" s="74" t="str">
        <f>VLOOKUP($K661,'[3]2 CODIFICATION'!D$7:E$61,2,"FAUX")</f>
        <v>Subventions Fraternité</v>
      </c>
      <c r="N661" s="84">
        <f t="shared" si="67"/>
        <v>748000</v>
      </c>
      <c r="O661" s="1064">
        <f>G661-H661</f>
        <v>0</v>
      </c>
      <c r="P661" s="84">
        <f>YEAR(D661)</f>
        <v>2024</v>
      </c>
      <c r="Q661" s="1140" t="str">
        <f>VLOOKUP($N661,'[3]2 CODIFICATION'!$G$5:$L$70,3,FALSE)</f>
        <v>Mairie de Teuillac</v>
      </c>
      <c r="R661" s="1141" t="str">
        <f>VLOOKUP($N661,'[3]2 CODIFICATION'!$G$5:$L$70,4,FALSE)</f>
        <v>pdts</v>
      </c>
      <c r="S661" s="1141">
        <f>VLOOKUP($N661,'[3]2 CODIFICATION'!$G$5:$L$70,5,FALSE)</f>
        <v>74</v>
      </c>
      <c r="T661" s="1140" t="str">
        <f>VLOOKUP($N661,'[3]2 CODIFICATION'!$G$5:$L$70,6,FALSE)</f>
        <v>Subventions d'exploitation</v>
      </c>
    </row>
    <row r="662" spans="1:20" s="1138" customFormat="1" hidden="1">
      <c r="A662" s="78" t="s">
        <v>724</v>
      </c>
      <c r="B662" s="78" t="s">
        <v>79</v>
      </c>
      <c r="D662" s="1139">
        <v>45473</v>
      </c>
      <c r="E662" s="1070" t="s">
        <v>750</v>
      </c>
      <c r="F662" s="1071"/>
      <c r="G662" s="1065">
        <v>10000</v>
      </c>
      <c r="H662" s="1065"/>
      <c r="I662" s="1065">
        <f>I659+G662-H662</f>
        <v>-21399.002</v>
      </c>
      <c r="J662" s="74" t="s">
        <v>760</v>
      </c>
      <c r="K662" s="20">
        <v>7440</v>
      </c>
      <c r="L662" s="74" t="str">
        <f>VLOOKUP($J662,'[3]2 CODIFICATION'!A$5:B$30,2,"FAUX")</f>
        <v>EAU POTABLE</v>
      </c>
      <c r="M662" s="74" t="str">
        <f>VLOOKUP($K662,'[3]2 CODIFICATION'!D$7:E$61,2,"FAUX")</f>
        <v>Subvention Bx Métropole</v>
      </c>
      <c r="N662" s="84">
        <f t="shared" si="67"/>
        <v>744000</v>
      </c>
      <c r="O662" s="1064">
        <f t="shared" si="64"/>
        <v>10000</v>
      </c>
      <c r="P662" s="84">
        <f t="shared" si="65"/>
        <v>2024</v>
      </c>
      <c r="Q662" s="1140" t="str">
        <f>VLOOKUP($N662,'[3]2 CODIFICATION'!$G$5:$L$70,3,FALSE)</f>
        <v>Subvention Bx Métropole</v>
      </c>
      <c r="R662" s="1141" t="str">
        <f>VLOOKUP($N662,'[3]2 CODIFICATION'!$G$5:$L$70,4,FALSE)</f>
        <v>pdts</v>
      </c>
      <c r="S662" s="1141">
        <f>VLOOKUP($N662,'[3]2 CODIFICATION'!$G$5:$L$70,5,FALSE)</f>
        <v>74</v>
      </c>
      <c r="T662" s="1140" t="str">
        <f>VLOOKUP($N662,'[3]2 CODIFICATION'!$G$5:$L$70,6,FALSE)</f>
        <v>Subventions d'exploitation</v>
      </c>
    </row>
    <row r="663" spans="1:20" s="1138" customFormat="1" hidden="1">
      <c r="A663" s="78" t="s">
        <v>724</v>
      </c>
      <c r="B663" s="78" t="s">
        <v>79</v>
      </c>
      <c r="D663" s="1139">
        <v>45473</v>
      </c>
      <c r="E663" s="1072" t="s">
        <v>752</v>
      </c>
      <c r="F663" s="1073"/>
      <c r="G663" s="1065">
        <v>18530.25</v>
      </c>
      <c r="H663" s="1065"/>
      <c r="I663" s="1065">
        <f t="shared" si="66"/>
        <v>-2868.7520000000004</v>
      </c>
      <c r="J663" s="74" t="s">
        <v>760</v>
      </c>
      <c r="K663" s="20">
        <v>7430</v>
      </c>
      <c r="L663" s="74" t="str">
        <f>VLOOKUP($J663,'[3]2 CODIFICATION'!A$5:B$30,2,"FAUX")</f>
        <v>EAU POTABLE</v>
      </c>
      <c r="M663" s="74" t="str">
        <f>VLOOKUP($K663,'[3]2 CODIFICATION'!D$7:E$61,2,"FAUX")</f>
        <v>Subvention Agence Adour Garonne</v>
      </c>
      <c r="N663" s="84">
        <f t="shared" si="67"/>
        <v>743000</v>
      </c>
      <c r="O663" s="1064">
        <f t="shared" si="64"/>
        <v>18530.25</v>
      </c>
      <c r="P663" s="84">
        <f t="shared" si="65"/>
        <v>2024</v>
      </c>
      <c r="Q663" s="1140" t="str">
        <f>VLOOKUP($N663,'[3]2 CODIFICATION'!$G$5:$L$70,3,FALSE)</f>
        <v>subvention Agence Adour Garonne</v>
      </c>
      <c r="R663" s="1141" t="str">
        <f>VLOOKUP($N663,'[3]2 CODIFICATION'!$G$5:$L$70,4,FALSE)</f>
        <v>pdts</v>
      </c>
      <c r="S663" s="1141">
        <f>VLOOKUP($N663,'[3]2 CODIFICATION'!$G$5:$L$70,5,FALSE)</f>
        <v>74</v>
      </c>
      <c r="T663" s="1140" t="str">
        <f>VLOOKUP($N663,'[3]2 CODIFICATION'!$G$5:$L$70,6,FALSE)</f>
        <v>Subventions d'exploitation</v>
      </c>
    </row>
    <row r="664" spans="1:20" s="1138" customFormat="1" hidden="1">
      <c r="A664" s="78" t="s">
        <v>724</v>
      </c>
      <c r="B664" s="78" t="s">
        <v>79</v>
      </c>
      <c r="D664" s="1139">
        <v>45473</v>
      </c>
      <c r="E664" s="1074" t="s">
        <v>754</v>
      </c>
      <c r="F664" s="1075"/>
      <c r="G664" s="1065">
        <v>3750</v>
      </c>
      <c r="H664" s="1065"/>
      <c r="I664" s="1065">
        <f>I662+G664-H664</f>
        <v>-17649.002</v>
      </c>
      <c r="J664" s="74" t="s">
        <v>760</v>
      </c>
      <c r="K664" s="20">
        <v>7450</v>
      </c>
      <c r="L664" s="74" t="str">
        <f>VLOOKUP($J664,'[3]2 CODIFICATION'!A$5:B$30,2,"FAUX")</f>
        <v>EAU POTABLE</v>
      </c>
      <c r="M664" s="74" t="str">
        <f>VLOOKUP($K664,'[3]2 CODIFICATION'!D$7:E$61,2,"FAUX")</f>
        <v>Subv Aglo de Brive / Valorem</v>
      </c>
      <c r="N664" s="84">
        <f t="shared" si="67"/>
        <v>745000</v>
      </c>
      <c r="O664" s="1064">
        <f t="shared" si="64"/>
        <v>3750</v>
      </c>
      <c r="P664" s="84">
        <f t="shared" si="65"/>
        <v>2024</v>
      </c>
      <c r="Q664" s="1140" t="str">
        <f>VLOOKUP($N664,'[3]2 CODIFICATION'!$G$5:$L$70,3,FALSE)</f>
        <v>Subv Aglo de Brive / Valorem</v>
      </c>
      <c r="R664" s="1141" t="str">
        <f>VLOOKUP($N664,'[3]2 CODIFICATION'!$G$5:$L$70,4,FALSE)</f>
        <v>pdts</v>
      </c>
      <c r="S664" s="1141">
        <f>VLOOKUP($N664,'[3]2 CODIFICATION'!$G$5:$L$70,5,FALSE)</f>
        <v>74</v>
      </c>
      <c r="T664" s="1140" t="str">
        <f>VLOOKUP($N664,'[3]2 CODIFICATION'!$G$5:$L$70,6,FALSE)</f>
        <v>Subventions d'exploitation</v>
      </c>
    </row>
    <row r="665" spans="1:20" s="1138" customFormat="1" hidden="1">
      <c r="A665" s="78" t="s">
        <v>724</v>
      </c>
      <c r="B665" s="78" t="s">
        <v>79</v>
      </c>
      <c r="D665" s="1139">
        <v>45473</v>
      </c>
      <c r="E665" s="1076" t="s">
        <v>769</v>
      </c>
      <c r="F665" s="1077"/>
      <c r="G665" s="1065">
        <v>1087.5</v>
      </c>
      <c r="H665" s="1065"/>
      <c r="I665" s="1065">
        <f t="shared" ref="I665:I673" si="68">I663+G665-H665</f>
        <v>-1781.2520000000004</v>
      </c>
      <c r="J665" s="74" t="s">
        <v>760</v>
      </c>
      <c r="K665" s="20">
        <v>8710</v>
      </c>
      <c r="L665" s="74" t="str">
        <f>VLOOKUP($J665,'[3]2 CODIFICATION'!A$5:B$30,2,"FAUX")</f>
        <v>EAU POTABLE</v>
      </c>
      <c r="M665" s="74" t="str">
        <f>VLOOKUP($K665,'[3]2 CODIFICATION'!D$7:E$61,2,"FAUX")</f>
        <v>Prestations en nature</v>
      </c>
      <c r="N665" s="84">
        <f t="shared" si="67"/>
        <v>871000</v>
      </c>
      <c r="O665" s="1064">
        <f t="shared" si="64"/>
        <v>1087.5</v>
      </c>
      <c r="P665" s="84">
        <f t="shared" si="65"/>
        <v>2024</v>
      </c>
      <c r="Q665" s="1140" t="str">
        <f>VLOOKUP($N665,'[3]2 CODIFICATION'!$G$5:$L$70,3,FALSE)</f>
        <v>Prestations en nature</v>
      </c>
      <c r="R665" s="1141" t="str">
        <f>VLOOKUP($N665,'[3]2 CODIFICATION'!$G$5:$L$70,4,FALSE)</f>
        <v>pdts</v>
      </c>
      <c r="S665" s="1141">
        <f>VLOOKUP($N665,'[3]2 CODIFICATION'!$G$5:$L$70,5,FALSE)</f>
        <v>87</v>
      </c>
      <c r="T665" s="1140" t="str">
        <f>VLOOKUP($N665,'[3]2 CODIFICATION'!$G$5:$L$70,6,FALSE)</f>
        <v>Contributions volontaires</v>
      </c>
    </row>
    <row r="666" spans="1:20" hidden="1">
      <c r="A666" s="201" t="s">
        <v>724</v>
      </c>
      <c r="B666" s="508" t="s">
        <v>79</v>
      </c>
      <c r="D666" s="509">
        <v>45382</v>
      </c>
      <c r="E666" s="541" t="s">
        <v>774</v>
      </c>
      <c r="F666" s="742"/>
      <c r="G666" s="511"/>
      <c r="H666" s="511">
        <v>300</v>
      </c>
      <c r="I666" s="1065">
        <f t="shared" si="68"/>
        <v>-17949.002</v>
      </c>
      <c r="J666" s="466" t="s">
        <v>273</v>
      </c>
      <c r="K666" s="20">
        <v>6040</v>
      </c>
      <c r="L666" s="74" t="s">
        <v>404</v>
      </c>
      <c r="M666" s="74" t="str">
        <f>VLOOKUP($K666,'2 CODIFICATION'!D$8:E$64,2,"FAUX")</f>
        <v>prestations études</v>
      </c>
      <c r="N666" s="74">
        <f t="shared" si="67"/>
        <v>604000</v>
      </c>
      <c r="O666" s="206">
        <f t="shared" ref="O666:O673" si="69">+G666-H666</f>
        <v>-300</v>
      </c>
      <c r="P666" s="74">
        <f>YEAR(D666)</f>
        <v>2024</v>
      </c>
      <c r="Q666" s="270" t="str">
        <f>VLOOKUP($N666,'2 CODIFICATION'!$G$5:$L$71,3,FALSE)</f>
        <v>Prestations de services (Hydrogéologue Nokbak)</v>
      </c>
      <c r="R666" s="271" t="str">
        <f>VLOOKUP($N666,'2 CODIFICATION'!$G$5:$L$71,4,FALSE)</f>
        <v>chges</v>
      </c>
      <c r="S666" s="271">
        <f>VLOOKUP($N666,'2 CODIFICATION'!$G$5:$L$71,5,FALSE)</f>
        <v>60</v>
      </c>
      <c r="T666" s="270" t="str">
        <f>VLOOKUP($N666,'2 CODIFICATION'!$G$5:$L$71,6,FALSE)</f>
        <v>Achat</v>
      </c>
    </row>
    <row r="667" spans="1:20" hidden="1">
      <c r="A667" s="201" t="s">
        <v>724</v>
      </c>
      <c r="B667" s="508" t="s">
        <v>79</v>
      </c>
      <c r="D667" s="509">
        <v>45473</v>
      </c>
      <c r="E667" s="541" t="s">
        <v>774</v>
      </c>
      <c r="F667" s="742"/>
      <c r="G667" s="511"/>
      <c r="H667" s="511">
        <v>300</v>
      </c>
      <c r="I667" s="1065">
        <f t="shared" si="68"/>
        <v>-2081.2520000000004</v>
      </c>
      <c r="J667" s="466" t="s">
        <v>273</v>
      </c>
      <c r="K667" s="20">
        <v>6040</v>
      </c>
      <c r="L667" s="74" t="s">
        <v>404</v>
      </c>
      <c r="M667" s="74" t="str">
        <f>VLOOKUP($K667,'2 CODIFICATION'!D$8:E$64,2,"FAUX")</f>
        <v>prestations études</v>
      </c>
      <c r="N667" s="74">
        <f t="shared" ref="N667:N673" si="70">+K667*100</f>
        <v>604000</v>
      </c>
      <c r="O667" s="206">
        <f t="shared" si="69"/>
        <v>-300</v>
      </c>
      <c r="P667" s="74">
        <f t="shared" ref="P667:P673" si="71">YEAR(D667)</f>
        <v>2024</v>
      </c>
      <c r="Q667" s="270" t="str">
        <f>VLOOKUP($N667,'2 CODIFICATION'!$G$5:$L$71,3,FALSE)</f>
        <v>Prestations de services (Hydrogéologue Nokbak)</v>
      </c>
      <c r="R667" s="271" t="str">
        <f>VLOOKUP($N667,'2 CODIFICATION'!$G$5:$L$71,4,FALSE)</f>
        <v>chges</v>
      </c>
      <c r="S667" s="271">
        <f>VLOOKUP($N667,'2 CODIFICATION'!$G$5:$L$71,5,FALSE)</f>
        <v>60</v>
      </c>
      <c r="T667" s="270" t="str">
        <f>VLOOKUP($N667,'2 CODIFICATION'!$G$5:$L$71,6,FALSE)</f>
        <v>Achat</v>
      </c>
    </row>
    <row r="668" spans="1:20" hidden="1">
      <c r="A668" s="201" t="s">
        <v>724</v>
      </c>
      <c r="B668" s="508" t="s">
        <v>79</v>
      </c>
      <c r="D668" s="509">
        <v>45565</v>
      </c>
      <c r="E668" s="541" t="s">
        <v>774</v>
      </c>
      <c r="F668" s="742"/>
      <c r="G668" s="511"/>
      <c r="H668" s="511">
        <v>300</v>
      </c>
      <c r="I668" s="1065">
        <f t="shared" si="68"/>
        <v>-18249.002</v>
      </c>
      <c r="J668" s="466" t="s">
        <v>273</v>
      </c>
      <c r="K668" s="20">
        <v>6040</v>
      </c>
      <c r="L668" s="74" t="s">
        <v>404</v>
      </c>
      <c r="M668" s="74" t="str">
        <f>VLOOKUP($K668,'2 CODIFICATION'!D$8:E$64,2,"FAUX")</f>
        <v>prestations études</v>
      </c>
      <c r="N668" s="74">
        <f t="shared" si="70"/>
        <v>604000</v>
      </c>
      <c r="O668" s="206">
        <f t="shared" si="69"/>
        <v>-300</v>
      </c>
      <c r="P668" s="74">
        <f t="shared" si="71"/>
        <v>2024</v>
      </c>
      <c r="Q668" s="270" t="str">
        <f>VLOOKUP($N668,'2 CODIFICATION'!$G$5:$L$71,3,FALSE)</f>
        <v>Prestations de services (Hydrogéologue Nokbak)</v>
      </c>
      <c r="R668" s="271" t="str">
        <f>VLOOKUP($N668,'2 CODIFICATION'!$G$5:$L$71,4,FALSE)</f>
        <v>chges</v>
      </c>
      <c r="S668" s="271">
        <f>VLOOKUP($N668,'2 CODIFICATION'!$G$5:$L$71,5,FALSE)</f>
        <v>60</v>
      </c>
      <c r="T668" s="270" t="str">
        <f>VLOOKUP($N668,'2 CODIFICATION'!$G$5:$L$71,6,FALSE)</f>
        <v>Achat</v>
      </c>
    </row>
    <row r="669" spans="1:20" hidden="1">
      <c r="A669" s="201" t="s">
        <v>724</v>
      </c>
      <c r="B669" s="508" t="s">
        <v>79</v>
      </c>
      <c r="D669" s="509">
        <v>45657</v>
      </c>
      <c r="E669" s="541" t="s">
        <v>774</v>
      </c>
      <c r="F669" s="742"/>
      <c r="G669" s="511"/>
      <c r="H669" s="511">
        <v>300</v>
      </c>
      <c r="I669" s="1065">
        <f t="shared" si="68"/>
        <v>-2381.2520000000004</v>
      </c>
      <c r="J669" s="466" t="s">
        <v>273</v>
      </c>
      <c r="K669" s="20">
        <v>6040</v>
      </c>
      <c r="L669" s="74" t="s">
        <v>404</v>
      </c>
      <c r="M669" s="74" t="str">
        <f>VLOOKUP($K669,'2 CODIFICATION'!D$8:E$64,2,"FAUX")</f>
        <v>prestations études</v>
      </c>
      <c r="N669" s="74">
        <f t="shared" si="70"/>
        <v>604000</v>
      </c>
      <c r="O669" s="206">
        <f t="shared" si="69"/>
        <v>-300</v>
      </c>
      <c r="P669" s="74">
        <f t="shared" si="71"/>
        <v>2024</v>
      </c>
      <c r="Q669" s="270" t="str">
        <f>VLOOKUP($N669,'2 CODIFICATION'!$G$5:$L$71,3,FALSE)</f>
        <v>Prestations de services (Hydrogéologue Nokbak)</v>
      </c>
      <c r="R669" s="271" t="str">
        <f>VLOOKUP($N669,'2 CODIFICATION'!$G$5:$L$71,4,FALSE)</f>
        <v>chges</v>
      </c>
      <c r="S669" s="271">
        <f>VLOOKUP($N669,'2 CODIFICATION'!$G$5:$L$71,5,FALSE)</f>
        <v>60</v>
      </c>
      <c r="T669" s="270" t="str">
        <f>VLOOKUP($N669,'2 CODIFICATION'!$G$5:$L$71,6,FALSE)</f>
        <v>Achat</v>
      </c>
    </row>
    <row r="670" spans="1:20" hidden="1">
      <c r="A670" s="201" t="s">
        <v>724</v>
      </c>
      <c r="B670" s="508" t="s">
        <v>79</v>
      </c>
      <c r="D670" s="509">
        <v>45382</v>
      </c>
      <c r="E670" s="541" t="s">
        <v>775</v>
      </c>
      <c r="F670" s="742"/>
      <c r="G670" s="511">
        <v>300</v>
      </c>
      <c r="H670" s="511"/>
      <c r="I670" s="1065">
        <f t="shared" si="68"/>
        <v>-17949.002</v>
      </c>
      <c r="J670" s="466" t="s">
        <v>273</v>
      </c>
      <c r="K670" s="20">
        <v>7770</v>
      </c>
      <c r="L670" s="74" t="s">
        <v>404</v>
      </c>
      <c r="M670" s="74" t="str">
        <f>VLOOKUP($K670,'2 CODIFICATION'!D$8:E$64,2,"FAUX")</f>
        <v>Produits exceptionnels</v>
      </c>
      <c r="N670" s="74">
        <f t="shared" si="70"/>
        <v>777000</v>
      </c>
      <c r="O670" s="206">
        <f t="shared" si="69"/>
        <v>300</v>
      </c>
      <c r="P670" s="74">
        <f t="shared" si="71"/>
        <v>2024</v>
      </c>
      <c r="Q670" s="270" t="str">
        <f>VLOOKUP($N670,'2 CODIFICATION'!$G$5:$L$71,3,FALSE)</f>
        <v>Produits exceptionnels</v>
      </c>
      <c r="R670" s="271" t="str">
        <f>VLOOKUP($N670,'2 CODIFICATION'!$G$5:$L$71,4,FALSE)</f>
        <v>pdts</v>
      </c>
      <c r="S670" s="271">
        <f>VLOOKUP($N670,'2 CODIFICATION'!$G$5:$L$71,5,FALSE)</f>
        <v>77</v>
      </c>
      <c r="T670" s="270" t="str">
        <f>VLOOKUP($N670,'2 CODIFICATION'!$G$5:$L$71,6,FALSE)</f>
        <v>Produits exceptionnels</v>
      </c>
    </row>
    <row r="671" spans="1:20" hidden="1">
      <c r="A671" s="201" t="s">
        <v>724</v>
      </c>
      <c r="B671" s="508" t="s">
        <v>79</v>
      </c>
      <c r="D671" s="509">
        <v>45473</v>
      </c>
      <c r="E671" s="541" t="s">
        <v>775</v>
      </c>
      <c r="F671" s="742"/>
      <c r="G671" s="511">
        <v>300</v>
      </c>
      <c r="H671" s="511"/>
      <c r="I671" s="1065">
        <f t="shared" si="68"/>
        <v>-2081.2520000000004</v>
      </c>
      <c r="J671" s="466" t="s">
        <v>273</v>
      </c>
      <c r="K671" s="20">
        <v>7770</v>
      </c>
      <c r="L671" s="74" t="s">
        <v>404</v>
      </c>
      <c r="M671" s="74" t="str">
        <f>VLOOKUP($K671,'2 CODIFICATION'!D$8:E$64,2,"FAUX")</f>
        <v>Produits exceptionnels</v>
      </c>
      <c r="N671" s="74">
        <f t="shared" si="70"/>
        <v>777000</v>
      </c>
      <c r="O671" s="206">
        <f t="shared" si="69"/>
        <v>300</v>
      </c>
      <c r="P671" s="74">
        <f t="shared" si="71"/>
        <v>2024</v>
      </c>
      <c r="Q671" s="270" t="str">
        <f>VLOOKUP($N671,'2 CODIFICATION'!$G$5:$L$71,3,FALSE)</f>
        <v>Produits exceptionnels</v>
      </c>
      <c r="R671" s="271" t="str">
        <f>VLOOKUP($N671,'2 CODIFICATION'!$G$5:$L$71,4,FALSE)</f>
        <v>pdts</v>
      </c>
      <c r="S671" s="271">
        <f>VLOOKUP($N671,'2 CODIFICATION'!$G$5:$L$71,5,FALSE)</f>
        <v>77</v>
      </c>
      <c r="T671" s="270" t="str">
        <f>VLOOKUP($N671,'2 CODIFICATION'!$G$5:$L$71,6,FALSE)</f>
        <v>Produits exceptionnels</v>
      </c>
    </row>
    <row r="672" spans="1:20" hidden="1">
      <c r="A672" s="201" t="s">
        <v>724</v>
      </c>
      <c r="B672" s="508" t="s">
        <v>79</v>
      </c>
      <c r="D672" s="509">
        <v>45565</v>
      </c>
      <c r="E672" s="541" t="s">
        <v>775</v>
      </c>
      <c r="F672" s="742"/>
      <c r="G672" s="511">
        <v>300</v>
      </c>
      <c r="H672" s="511"/>
      <c r="I672" s="1065">
        <f t="shared" si="68"/>
        <v>-17649.002</v>
      </c>
      <c r="J672" s="466" t="s">
        <v>273</v>
      </c>
      <c r="K672" s="20">
        <v>7770</v>
      </c>
      <c r="L672" s="74" t="s">
        <v>404</v>
      </c>
      <c r="M672" s="74" t="str">
        <f>VLOOKUP($K672,'2 CODIFICATION'!D$8:E$64,2,"FAUX")</f>
        <v>Produits exceptionnels</v>
      </c>
      <c r="N672" s="74">
        <f t="shared" si="70"/>
        <v>777000</v>
      </c>
      <c r="O672" s="206">
        <f t="shared" si="69"/>
        <v>300</v>
      </c>
      <c r="P672" s="74">
        <f t="shared" si="71"/>
        <v>2024</v>
      </c>
      <c r="Q672" s="270" t="str">
        <f>VLOOKUP($N672,'2 CODIFICATION'!$G$5:$L$71,3,FALSE)</f>
        <v>Produits exceptionnels</v>
      </c>
      <c r="R672" s="271" t="str">
        <f>VLOOKUP($N672,'2 CODIFICATION'!$G$5:$L$71,4,FALSE)</f>
        <v>pdts</v>
      </c>
      <c r="S672" s="271">
        <f>VLOOKUP($N672,'2 CODIFICATION'!$G$5:$L$71,5,FALSE)</f>
        <v>77</v>
      </c>
      <c r="T672" s="270" t="str">
        <f>VLOOKUP($N672,'2 CODIFICATION'!$G$5:$L$71,6,FALSE)</f>
        <v>Produits exceptionnels</v>
      </c>
    </row>
    <row r="673" spans="1:20" hidden="1">
      <c r="A673" s="201" t="s">
        <v>724</v>
      </c>
      <c r="B673" s="508" t="s">
        <v>79</v>
      </c>
      <c r="D673" s="509">
        <v>45657</v>
      </c>
      <c r="E673" s="541" t="s">
        <v>775</v>
      </c>
      <c r="F673" s="742"/>
      <c r="G673" s="511">
        <v>300</v>
      </c>
      <c r="H673" s="511"/>
      <c r="I673" s="1065">
        <f t="shared" si="68"/>
        <v>-1781.2520000000004</v>
      </c>
      <c r="J673" s="466" t="s">
        <v>273</v>
      </c>
      <c r="K673" s="20">
        <v>7770</v>
      </c>
      <c r="L673" s="74" t="s">
        <v>404</v>
      </c>
      <c r="M673" s="74" t="str">
        <f>VLOOKUP($K673,'2 CODIFICATION'!D$8:E$64,2,"FAUX")</f>
        <v>Produits exceptionnels</v>
      </c>
      <c r="N673" s="74">
        <f t="shared" si="70"/>
        <v>777000</v>
      </c>
      <c r="O673" s="206">
        <f t="shared" si="69"/>
        <v>300</v>
      </c>
      <c r="P673" s="74">
        <f t="shared" si="71"/>
        <v>2024</v>
      </c>
      <c r="Q673" s="270" t="str">
        <f>VLOOKUP($N673,'2 CODIFICATION'!$G$5:$L$71,3,FALSE)</f>
        <v>Produits exceptionnels</v>
      </c>
      <c r="R673" s="271" t="str">
        <f>VLOOKUP($N673,'2 CODIFICATION'!$G$5:$L$71,4,FALSE)</f>
        <v>pdts</v>
      </c>
      <c r="S673" s="271">
        <f>VLOOKUP($N673,'2 CODIFICATION'!$G$5:$L$71,5,FALSE)</f>
        <v>77</v>
      </c>
      <c r="T673" s="270" t="str">
        <f>VLOOKUP($N673,'2 CODIFICATION'!$G$5:$L$71,6,FALSE)</f>
        <v>Produits exceptionnels</v>
      </c>
    </row>
    <row r="674" spans="1:20" s="201" customFormat="1" ht="15" hidden="1" customHeight="1">
      <c r="A674" s="201" t="s">
        <v>170</v>
      </c>
      <c r="B674" s="201" t="s">
        <v>79</v>
      </c>
      <c r="C674" s="202"/>
      <c r="D674" s="268">
        <v>45292</v>
      </c>
      <c r="E674" s="202" t="s">
        <v>162</v>
      </c>
      <c r="F674" s="172"/>
      <c r="G674" s="527">
        <v>15</v>
      </c>
      <c r="H674" s="527"/>
      <c r="I674" s="529">
        <f>+G674</f>
        <v>15</v>
      </c>
      <c r="J674" s="521" t="s">
        <v>273</v>
      </c>
      <c r="K674" s="20">
        <f t="shared" ref="K674:K676" si="72">N674/100</f>
        <v>5120</v>
      </c>
      <c r="L674" s="74" t="str">
        <f>VLOOKUP($J674,'2 CODIFICATION'!A$5:B$21,2,"FAUX")</f>
        <v>ADMINIST ET FONCT</v>
      </c>
      <c r="M674" s="74" t="str">
        <f>VLOOKUP($K674,'2 CODIFICATION'!D$8:E$64,2,"FAUX")</f>
        <v>Banque</v>
      </c>
      <c r="N674" s="74">
        <v>512000</v>
      </c>
      <c r="O674" s="206">
        <f t="shared" ref="O674:O676" si="73">G674-H674</f>
        <v>15</v>
      </c>
      <c r="P674" s="74">
        <f t="shared" ref="P674:P676" si="74">YEAR(D674)</f>
        <v>2024</v>
      </c>
      <c r="Q674" s="270" t="str">
        <f>VLOOKUP($N674,'2 CODIFICATION'!$G$5:$L$71,3,FALSE)</f>
        <v>Banque</v>
      </c>
      <c r="R674" s="271" t="str">
        <f>VLOOKUP($N674,'2 CODIFICATION'!$G$5:$L$71,4,FALSE)</f>
        <v>bilan</v>
      </c>
      <c r="S674" s="271">
        <f>VLOOKUP($N674,'2 CODIFICATION'!$G$5:$L$71,5,FALSE)</f>
        <v>50</v>
      </c>
      <c r="T674" s="270" t="str">
        <f>VLOOKUP($N674,'2 CODIFICATION'!$G$5:$L$71,6,FALSE)</f>
        <v>Trésorerie</v>
      </c>
    </row>
    <row r="675" spans="1:20" s="201" customFormat="1" ht="15" hidden="1" customHeight="1">
      <c r="A675" s="201" t="s">
        <v>170</v>
      </c>
      <c r="B675" s="201" t="s">
        <v>79</v>
      </c>
      <c r="C675" s="202"/>
      <c r="D675" s="268">
        <v>45292</v>
      </c>
      <c r="E675" s="202" t="s">
        <v>162</v>
      </c>
      <c r="F675" s="172"/>
      <c r="G675" s="527">
        <v>4530.2200000000012</v>
      </c>
      <c r="H675" s="527"/>
      <c r="I675" s="477">
        <f>+I674+G675-H675</f>
        <v>4545.2200000000012</v>
      </c>
      <c r="J675" s="521" t="s">
        <v>273</v>
      </c>
      <c r="K675" s="20">
        <f t="shared" si="72"/>
        <v>5120</v>
      </c>
      <c r="L675" s="74" t="str">
        <f>VLOOKUP($J675,'2 CODIFICATION'!A$5:B$21,2,"FAUX")</f>
        <v>ADMINIST ET FONCT</v>
      </c>
      <c r="M675" s="74" t="str">
        <f>VLOOKUP($K675,'2 CODIFICATION'!D$8:E$64,2,"FAUX")</f>
        <v>Banque</v>
      </c>
      <c r="N675" s="74">
        <v>512000</v>
      </c>
      <c r="O675" s="206">
        <f t="shared" si="73"/>
        <v>4530.2200000000012</v>
      </c>
      <c r="P675" s="74">
        <f t="shared" si="74"/>
        <v>2024</v>
      </c>
      <c r="Q675" s="270" t="str">
        <f>VLOOKUP($N675,'2 CODIFICATION'!$G$5:$L$71,3,FALSE)</f>
        <v>Banque</v>
      </c>
      <c r="R675" s="271" t="str">
        <f>VLOOKUP($N675,'2 CODIFICATION'!$G$5:$L$71,4,FALSE)</f>
        <v>bilan</v>
      </c>
      <c r="S675" s="271">
        <f>VLOOKUP($N675,'2 CODIFICATION'!$G$5:$L$71,5,FALSE)</f>
        <v>50</v>
      </c>
      <c r="T675" s="270" t="str">
        <f>VLOOKUP($N675,'2 CODIFICATION'!$G$5:$L$71,6,FALSE)</f>
        <v>Trésorerie</v>
      </c>
    </row>
    <row r="676" spans="1:20" s="201" customFormat="1" ht="15" hidden="1" customHeight="1">
      <c r="A676" s="201" t="s">
        <v>170</v>
      </c>
      <c r="B676" s="201" t="s">
        <v>79</v>
      </c>
      <c r="C676" s="202"/>
      <c r="D676" s="268">
        <v>45292</v>
      </c>
      <c r="E676" s="202" t="s">
        <v>162</v>
      </c>
      <c r="F676" s="172"/>
      <c r="G676" s="527">
        <v>-3460.8099999999977</v>
      </c>
      <c r="H676" s="527"/>
      <c r="I676" s="477">
        <f t="shared" ref="I676:I709" si="75">+I675+G676-H676</f>
        <v>1084.4100000000035</v>
      </c>
      <c r="J676" s="521" t="s">
        <v>527</v>
      </c>
      <c r="K676" s="20">
        <f t="shared" si="72"/>
        <v>5120</v>
      </c>
      <c r="L676" s="74" t="str">
        <f>VLOOKUP($J676,'2 CODIFICATION'!A$5:B$21,2,"FAUX")</f>
        <v>TOILETTES ECOSAN</v>
      </c>
      <c r="M676" s="74" t="str">
        <f>VLOOKUP($K676,'2 CODIFICATION'!D$8:E$64,2,"FAUX")</f>
        <v>Banque</v>
      </c>
      <c r="N676" s="74">
        <v>512000</v>
      </c>
      <c r="O676" s="206">
        <f t="shared" si="73"/>
        <v>-3460.8099999999977</v>
      </c>
      <c r="P676" s="74">
        <f t="shared" si="74"/>
        <v>2024</v>
      </c>
      <c r="Q676" s="270" t="str">
        <f>VLOOKUP($N676,'2 CODIFICATION'!$G$5:$L$71,3,FALSE)</f>
        <v>Banque</v>
      </c>
      <c r="R676" s="271" t="str">
        <f>VLOOKUP($N676,'2 CODIFICATION'!$G$5:$L$71,4,FALSE)</f>
        <v>bilan</v>
      </c>
      <c r="S676" s="271">
        <f>VLOOKUP($N676,'2 CODIFICATION'!$G$5:$L$71,5,FALSE)</f>
        <v>50</v>
      </c>
      <c r="T676" s="270" t="str">
        <f>VLOOKUP($N676,'2 CODIFICATION'!$G$5:$L$71,6,FALSE)</f>
        <v>Trésorerie</v>
      </c>
    </row>
    <row r="677" spans="1:20" hidden="1">
      <c r="A677" s="201" t="s">
        <v>170</v>
      </c>
      <c r="B677" s="938" t="s">
        <v>79</v>
      </c>
      <c r="C677" s="935"/>
      <c r="D677" s="939">
        <v>45293</v>
      </c>
      <c r="E677" s="940"/>
      <c r="F677" s="935"/>
      <c r="G677" s="847">
        <v>320</v>
      </c>
      <c r="H677" s="847"/>
      <c r="I677" s="477">
        <f t="shared" si="75"/>
        <v>1404.4100000000035</v>
      </c>
      <c r="J677" s="902" t="s">
        <v>273</v>
      </c>
      <c r="K677" s="20">
        <f t="shared" ref="K677:K708" si="76">N677/100</f>
        <v>7771</v>
      </c>
      <c r="L677" s="74" t="str">
        <f>VLOOKUP($J677,'2 CODIFICATION'!A$5:B$21,2,"FAUX")</f>
        <v>ADMINIST ET FONCT</v>
      </c>
      <c r="M677" s="74" t="str">
        <f>VLOOKUP($K677,'2 CODIFICATION'!D$8:E$64,2,"FAUX")</f>
        <v>Dons et participations à l"association</v>
      </c>
      <c r="N677" s="74">
        <v>777100</v>
      </c>
      <c r="O677" s="206">
        <f t="shared" ref="O677:O708" si="77">G677-H677</f>
        <v>320</v>
      </c>
      <c r="P677" s="74">
        <f t="shared" ref="P677:P708" si="78">YEAR(D677)</f>
        <v>2024</v>
      </c>
      <c r="Q677" s="270" t="str">
        <f>VLOOKUP($N677,'2 CODIFICATION'!$G$5:$L$71,3,FALSE)</f>
        <v>Dons et autres mises à dispositions gratuites</v>
      </c>
      <c r="R677" s="271" t="str">
        <f>VLOOKUP($N677,'2 CODIFICATION'!$G$5:$L$71,4,FALSE)</f>
        <v>pdts</v>
      </c>
      <c r="S677" s="271">
        <f>VLOOKUP($N677,'2 CODIFICATION'!$G$5:$L$71,5,FALSE)</f>
        <v>77</v>
      </c>
      <c r="T677" s="270" t="str">
        <f>VLOOKUP($N677,'2 CODIFICATION'!$G$5:$L$71,6,FALSE)</f>
        <v>Produits exceptionnels</v>
      </c>
    </row>
    <row r="678" spans="1:20" hidden="1">
      <c r="A678" s="201" t="s">
        <v>170</v>
      </c>
      <c r="B678" s="508" t="s">
        <v>79</v>
      </c>
      <c r="C678" s="4">
        <v>3327424</v>
      </c>
      <c r="D678" s="1265">
        <v>45296</v>
      </c>
      <c r="E678" s="1270" t="s">
        <v>603</v>
      </c>
      <c r="G678" s="914">
        <v>116.1</v>
      </c>
      <c r="H678" s="914"/>
      <c r="I678" s="477">
        <f t="shared" si="75"/>
        <v>1520.5100000000034</v>
      </c>
      <c r="J678" s="466" t="s">
        <v>273</v>
      </c>
      <c r="K678" s="20">
        <f t="shared" si="76"/>
        <v>6160</v>
      </c>
      <c r="L678" s="74" t="str">
        <f>VLOOKUP($J678,'2 CODIFICATION'!A$5:B$21,2,"FAUX")</f>
        <v>ADMINIST ET FONCT</v>
      </c>
      <c r="M678" s="74" t="str">
        <f>VLOOKUP($K678,'2 CODIFICATION'!D$8:E$64,2,"FAUX")</f>
        <v>Assurance RC</v>
      </c>
      <c r="N678" s="74">
        <v>616000</v>
      </c>
      <c r="O678" s="206">
        <f t="shared" si="77"/>
        <v>116.1</v>
      </c>
      <c r="P678" s="74">
        <f t="shared" si="78"/>
        <v>2024</v>
      </c>
      <c r="Q678" s="270" t="str">
        <f>VLOOKUP($N678,'2 CODIFICATION'!$G$5:$L$71,3,FALSE)</f>
        <v>Primes d'assurance</v>
      </c>
      <c r="R678" s="271" t="str">
        <f>VLOOKUP($N678,'2 CODIFICATION'!$G$5:$L$71,4,FALSE)</f>
        <v>chges</v>
      </c>
      <c r="S678" s="271">
        <f>VLOOKUP($N678,'2 CODIFICATION'!$G$5:$L$71,5,FALSE)</f>
        <v>61</v>
      </c>
      <c r="T678" s="270" t="str">
        <f>VLOOKUP($N678,'2 CODIFICATION'!$G$5:$L$71,6,FALSE)</f>
        <v>Services extérieurs</v>
      </c>
    </row>
    <row r="679" spans="1:20" hidden="1">
      <c r="A679" s="201" t="s">
        <v>170</v>
      </c>
      <c r="B679" s="508" t="s">
        <v>79</v>
      </c>
      <c r="C679" s="4">
        <v>3327424</v>
      </c>
      <c r="D679" s="1265">
        <v>45296</v>
      </c>
      <c r="E679" s="845" t="s">
        <v>252</v>
      </c>
      <c r="G679" s="914"/>
      <c r="H679" s="914">
        <v>116.1</v>
      </c>
      <c r="I679" s="477">
        <f t="shared" si="75"/>
        <v>1404.4100000000035</v>
      </c>
      <c r="J679" s="466" t="s">
        <v>527</v>
      </c>
      <c r="K679" s="20">
        <f t="shared" si="76"/>
        <v>6230</v>
      </c>
      <c r="L679" s="74" t="str">
        <f>VLOOKUP($J679,'2 CODIFICATION'!A$5:B$21,2,"FAUX")</f>
        <v>TOILETTES ECOSAN</v>
      </c>
      <c r="M679" s="74" t="str">
        <f>VLOOKUP($K679,'2 CODIFICATION'!D$8:E$64,2,"FAUX")</f>
        <v>communication</v>
      </c>
      <c r="N679" s="74">
        <v>623000</v>
      </c>
      <c r="O679" s="206">
        <f t="shared" si="77"/>
        <v>-116.1</v>
      </c>
      <c r="P679" s="74">
        <f t="shared" si="78"/>
        <v>2024</v>
      </c>
      <c r="Q679" s="270" t="str">
        <f>VLOOKUP($N679,'2 CODIFICATION'!$G$5:$L$71,3,FALSE)</f>
        <v>Publicité, publications, Création de site web</v>
      </c>
      <c r="R679" s="271" t="str">
        <f>VLOOKUP($N679,'2 CODIFICATION'!$G$5:$L$71,4,FALSE)</f>
        <v>chges</v>
      </c>
      <c r="S679" s="271">
        <f>VLOOKUP($N679,'2 CODIFICATION'!$G$5:$L$71,5,FALSE)</f>
        <v>62</v>
      </c>
      <c r="T679" s="270" t="str">
        <f>VLOOKUP($N679,'2 CODIFICATION'!$G$5:$L$71,6,FALSE)</f>
        <v>Autres services extérieurs</v>
      </c>
    </row>
    <row r="680" spans="1:20" ht="21.5" hidden="1">
      <c r="A680" s="201" t="s">
        <v>170</v>
      </c>
      <c r="B680" s="508" t="s">
        <v>79</v>
      </c>
      <c r="D680" s="844">
        <v>45302</v>
      </c>
      <c r="E680" s="845" t="s">
        <v>818</v>
      </c>
      <c r="G680" s="846"/>
      <c r="H680" s="846">
        <v>123.98</v>
      </c>
      <c r="I680" s="477">
        <f t="shared" si="75"/>
        <v>1280.4300000000035</v>
      </c>
      <c r="J680" s="466" t="s">
        <v>527</v>
      </c>
      <c r="K680" s="20">
        <f t="shared" si="76"/>
        <v>6230</v>
      </c>
      <c r="L680" s="74" t="str">
        <f>VLOOKUP($J680,'2 CODIFICATION'!A$5:B$21,2,"FAUX")</f>
        <v>TOILETTES ECOSAN</v>
      </c>
      <c r="M680" s="74" t="str">
        <f>VLOOKUP($K680,'2 CODIFICATION'!D$8:E$64,2,"FAUX")</f>
        <v>communication</v>
      </c>
      <c r="N680" s="74">
        <v>623000</v>
      </c>
      <c r="O680" s="206">
        <f t="shared" si="77"/>
        <v>-123.98</v>
      </c>
      <c r="P680" s="74">
        <f t="shared" si="78"/>
        <v>2024</v>
      </c>
      <c r="Q680" s="270" t="str">
        <f>VLOOKUP($N680,'2 CODIFICATION'!$G$5:$L$71,3,FALSE)</f>
        <v>Publicité, publications, Création de site web</v>
      </c>
      <c r="R680" s="271" t="str">
        <f>VLOOKUP($N680,'2 CODIFICATION'!$G$5:$L$71,4,FALSE)</f>
        <v>chges</v>
      </c>
      <c r="S680" s="271">
        <f>VLOOKUP($N680,'2 CODIFICATION'!$G$5:$L$71,5,FALSE)</f>
        <v>62</v>
      </c>
      <c r="T680" s="270" t="str">
        <f>VLOOKUP($N680,'2 CODIFICATION'!$G$5:$L$71,6,FALSE)</f>
        <v>Autres services extérieurs</v>
      </c>
    </row>
    <row r="681" spans="1:20" ht="21.5" hidden="1">
      <c r="A681" s="201" t="s">
        <v>170</v>
      </c>
      <c r="B681" s="508" t="s">
        <v>79</v>
      </c>
      <c r="D681" s="844">
        <v>45308</v>
      </c>
      <c r="E681" s="845" t="s">
        <v>817</v>
      </c>
      <c r="G681" s="847">
        <v>24</v>
      </c>
      <c r="H681" s="846"/>
      <c r="I681" s="477">
        <f t="shared" si="75"/>
        <v>1304.4300000000035</v>
      </c>
      <c r="J681" s="466" t="s">
        <v>273</v>
      </c>
      <c r="K681" s="20">
        <f t="shared" si="76"/>
        <v>6270</v>
      </c>
      <c r="L681" s="74" t="str">
        <f>VLOOKUP($J681,'2 CODIFICATION'!A$5:B$21,2,"FAUX")</f>
        <v>ADMINIST ET FONCT</v>
      </c>
      <c r="M681" s="74" t="str">
        <f>VLOOKUP($K681,'2 CODIFICATION'!D$8:E$64,2,"FAUX")</f>
        <v>Frais de banque</v>
      </c>
      <c r="N681" s="74">
        <v>627000</v>
      </c>
      <c r="O681" s="206">
        <f t="shared" si="77"/>
        <v>24</v>
      </c>
      <c r="P681" s="74">
        <f t="shared" si="78"/>
        <v>2024</v>
      </c>
      <c r="Q681" s="270" t="str">
        <f>VLOOKUP($N681,'2 CODIFICATION'!$G$5:$L$71,3,FALSE)</f>
        <v>Frais bancaires</v>
      </c>
      <c r="R681" s="271" t="str">
        <f>VLOOKUP($N681,'2 CODIFICATION'!$G$5:$L$71,4,FALSE)</f>
        <v>chges</v>
      </c>
      <c r="S681" s="271">
        <f>VLOOKUP($N681,'2 CODIFICATION'!$G$5:$L$71,5,FALSE)</f>
        <v>62</v>
      </c>
      <c r="T681" s="270" t="str">
        <f>VLOOKUP($N681,'2 CODIFICATION'!$G$5:$L$71,6,FALSE)</f>
        <v>Autres services extérieurs</v>
      </c>
    </row>
    <row r="682" spans="1:20" ht="31.5" hidden="1">
      <c r="A682" s="201" t="s">
        <v>170</v>
      </c>
      <c r="B682" s="508" t="s">
        <v>79</v>
      </c>
      <c r="D682" s="844">
        <v>45314</v>
      </c>
      <c r="E682" s="944" t="s">
        <v>816</v>
      </c>
      <c r="F682" s="945"/>
      <c r="G682" s="946">
        <v>20</v>
      </c>
      <c r="H682" s="846"/>
      <c r="I682" s="477">
        <f t="shared" si="75"/>
        <v>1324.4300000000035</v>
      </c>
      <c r="J682" s="466" t="s">
        <v>273</v>
      </c>
      <c r="K682" s="20">
        <f t="shared" si="76"/>
        <v>7581</v>
      </c>
      <c r="L682" s="74" t="str">
        <f>VLOOKUP($J682,'2 CODIFICATION'!A$5:B$21,2,"FAUX")</f>
        <v>ADMINIST ET FONCT</v>
      </c>
      <c r="M682" s="74" t="str">
        <f>VLOOKUP($K682,'2 CODIFICATION'!D$8:E$64,2,"FAUX")</f>
        <v>Adhésions association</v>
      </c>
      <c r="N682" s="74">
        <v>758100</v>
      </c>
      <c r="O682" s="206">
        <f t="shared" si="77"/>
        <v>20</v>
      </c>
      <c r="P682" s="74">
        <f t="shared" si="78"/>
        <v>2024</v>
      </c>
      <c r="Q682" s="270" t="str">
        <f>VLOOKUP($N682,'2 CODIFICATION'!$G$5:$L$71,3,FALSE)</f>
        <v>Cotisations individuelles et associatives</v>
      </c>
      <c r="R682" s="271" t="str">
        <f>VLOOKUP($N682,'2 CODIFICATION'!$G$5:$L$71,4,FALSE)</f>
        <v>pdts</v>
      </c>
      <c r="S682" s="271">
        <f>VLOOKUP($N682,'2 CODIFICATION'!$G$5:$L$71,5,FALSE)</f>
        <v>75</v>
      </c>
      <c r="T682" s="270" t="str">
        <f>VLOOKUP($N682,'2 CODIFICATION'!$G$5:$L$71,6,FALSE)</f>
        <v>Autres produits de gestion courante</v>
      </c>
    </row>
    <row r="683" spans="1:20" ht="21.5" hidden="1">
      <c r="A683" s="201" t="s">
        <v>170</v>
      </c>
      <c r="B683" s="508" t="s">
        <v>79</v>
      </c>
      <c r="D683" s="844">
        <v>45315</v>
      </c>
      <c r="E683" s="845" t="s">
        <v>815</v>
      </c>
      <c r="G683" s="846"/>
      <c r="H683" s="846">
        <v>117.05</v>
      </c>
      <c r="I683" s="477">
        <f t="shared" si="75"/>
        <v>1207.3800000000035</v>
      </c>
      <c r="J683" s="466" t="s">
        <v>273</v>
      </c>
      <c r="K683" s="20">
        <f t="shared" si="76"/>
        <v>6160</v>
      </c>
      <c r="L683" s="74" t="str">
        <f>VLOOKUP($J683,'2 CODIFICATION'!A$5:B$21,2,"FAUX")</f>
        <v>ADMINIST ET FONCT</v>
      </c>
      <c r="M683" s="74" t="str">
        <f>VLOOKUP($K683,'2 CODIFICATION'!D$8:E$64,2,"FAUX")</f>
        <v>Assurance RC</v>
      </c>
      <c r="N683" s="74">
        <v>616000</v>
      </c>
      <c r="O683" s="206">
        <f t="shared" si="77"/>
        <v>-117.05</v>
      </c>
      <c r="P683" s="74">
        <f t="shared" si="78"/>
        <v>2024</v>
      </c>
      <c r="Q683" s="270" t="str">
        <f>VLOOKUP($N683,'2 CODIFICATION'!$G$5:$L$71,3,FALSE)</f>
        <v>Primes d'assurance</v>
      </c>
      <c r="R683" s="271" t="str">
        <f>VLOOKUP($N683,'2 CODIFICATION'!$G$5:$L$71,4,FALSE)</f>
        <v>chges</v>
      </c>
      <c r="S683" s="271">
        <f>VLOOKUP($N683,'2 CODIFICATION'!$G$5:$L$71,5,FALSE)</f>
        <v>61</v>
      </c>
      <c r="T683" s="270" t="str">
        <f>VLOOKUP($N683,'2 CODIFICATION'!$G$5:$L$71,6,FALSE)</f>
        <v>Services extérieurs</v>
      </c>
    </row>
    <row r="684" spans="1:20" hidden="1">
      <c r="A684" s="201" t="s">
        <v>170</v>
      </c>
      <c r="B684" s="508" t="s">
        <v>79</v>
      </c>
      <c r="D684" s="844">
        <v>45315</v>
      </c>
      <c r="E684" s="845" t="s">
        <v>922</v>
      </c>
      <c r="G684" s="846">
        <v>5020</v>
      </c>
      <c r="H684" s="846"/>
      <c r="I684" s="477">
        <f t="shared" si="75"/>
        <v>6227.3800000000037</v>
      </c>
      <c r="J684" s="466" t="s">
        <v>527</v>
      </c>
      <c r="K684" s="20">
        <f t="shared" si="76"/>
        <v>4500</v>
      </c>
      <c r="L684" s="74" t="str">
        <f>VLOOKUP($J684,'2 CODIFICATION'!A$5:B$21,2,"FAUX")</f>
        <v>TOILETTES ECOSAN</v>
      </c>
      <c r="M684" s="74" t="str">
        <f>VLOOKUP($K684,'2 CODIFICATION'!D$3:E$64,2,"FAUX")</f>
        <v>Compte courant</v>
      </c>
      <c r="N684" s="74">
        <v>450000</v>
      </c>
      <c r="O684" s="206">
        <f t="shared" si="77"/>
        <v>5020</v>
      </c>
      <c r="P684" s="74">
        <f t="shared" si="78"/>
        <v>2024</v>
      </c>
      <c r="Q684" s="270" t="str">
        <f>VLOOKUP($N684,'2 CODIFICATION'!$G$5:$L$71,3,FALSE)</f>
        <v>Compte courant</v>
      </c>
      <c r="R684" s="271" t="str">
        <f>VLOOKUP($N684,'2 CODIFICATION'!$G$5:$L$71,4,FALSE)</f>
        <v>bilan</v>
      </c>
      <c r="S684" s="271">
        <f>VLOOKUP($N684,'2 CODIFICATION'!$G$5:$L$71,5,FALSE)</f>
        <v>45</v>
      </c>
      <c r="T684" s="270" t="str">
        <f>VLOOKUP($N684,'2 CODIFICATION'!$G$5:$L$71,6,FALSE)</f>
        <v>Compte courant</v>
      </c>
    </row>
    <row r="685" spans="1:20" ht="21.5" hidden="1">
      <c r="A685" s="201" t="s">
        <v>170</v>
      </c>
      <c r="B685" s="508" t="s">
        <v>79</v>
      </c>
      <c r="D685" s="844">
        <v>45315</v>
      </c>
      <c r="E685" s="845" t="s">
        <v>815</v>
      </c>
      <c r="G685" s="846">
        <v>117.05</v>
      </c>
      <c r="H685" s="846"/>
      <c r="I685" s="477">
        <f t="shared" si="75"/>
        <v>6344.4300000000039</v>
      </c>
      <c r="J685" s="466" t="s">
        <v>273</v>
      </c>
      <c r="K685" s="20">
        <f t="shared" si="76"/>
        <v>6160</v>
      </c>
      <c r="L685" s="74" t="str">
        <f>VLOOKUP($J685,'2 CODIFICATION'!A$5:B$21,2,"FAUX")</f>
        <v>ADMINIST ET FONCT</v>
      </c>
      <c r="M685" s="74" t="str">
        <f>VLOOKUP($K685,'2 CODIFICATION'!D$8:E$64,2,"FAUX")</f>
        <v>Assurance RC</v>
      </c>
      <c r="N685" s="74">
        <v>616000</v>
      </c>
      <c r="O685" s="206">
        <f t="shared" si="77"/>
        <v>117.05</v>
      </c>
      <c r="P685" s="74">
        <f t="shared" si="78"/>
        <v>2024</v>
      </c>
      <c r="Q685" s="270" t="str">
        <f>VLOOKUP($N685,'2 CODIFICATION'!$G$5:$L$71,3,FALSE)</f>
        <v>Primes d'assurance</v>
      </c>
      <c r="R685" s="271" t="str">
        <f>VLOOKUP($N685,'2 CODIFICATION'!$G$5:$L$71,4,FALSE)</f>
        <v>chges</v>
      </c>
      <c r="S685" s="271">
        <f>VLOOKUP($N685,'2 CODIFICATION'!$G$5:$L$71,5,FALSE)</f>
        <v>61</v>
      </c>
      <c r="T685" s="270" t="str">
        <f>VLOOKUP($N685,'2 CODIFICATION'!$G$5:$L$71,6,FALSE)</f>
        <v>Services extérieurs</v>
      </c>
    </row>
    <row r="686" spans="1:20" hidden="1">
      <c r="A686" s="201" t="s">
        <v>170</v>
      </c>
      <c r="B686" s="508" t="s">
        <v>79</v>
      </c>
      <c r="D686" s="844">
        <v>45315</v>
      </c>
      <c r="E686" s="845" t="s">
        <v>252</v>
      </c>
      <c r="G686" s="846"/>
      <c r="H686" s="846">
        <v>117.05</v>
      </c>
      <c r="I686" s="477">
        <f t="shared" si="75"/>
        <v>6227.3800000000037</v>
      </c>
      <c r="J686" s="466" t="s">
        <v>527</v>
      </c>
      <c r="K686" s="20">
        <f t="shared" si="76"/>
        <v>6230</v>
      </c>
      <c r="L686" s="74" t="str">
        <f>VLOOKUP($J686,'2 CODIFICATION'!A$5:B$21,2,"FAUX")</f>
        <v>TOILETTES ECOSAN</v>
      </c>
      <c r="M686" s="74" t="str">
        <f>VLOOKUP($K686,'2 CODIFICATION'!D$8:E$64,2,"FAUX")</f>
        <v>communication</v>
      </c>
      <c r="N686" s="74">
        <v>623000</v>
      </c>
      <c r="O686" s="206">
        <f t="shared" si="77"/>
        <v>-117.05</v>
      </c>
      <c r="P686" s="74">
        <f t="shared" si="78"/>
        <v>2024</v>
      </c>
      <c r="Q686" s="270" t="str">
        <f>VLOOKUP($N686,'2 CODIFICATION'!$G$5:$L$71,3,FALSE)</f>
        <v>Publicité, publications, Création de site web</v>
      </c>
      <c r="R686" s="271" t="str">
        <f>VLOOKUP($N686,'2 CODIFICATION'!$G$5:$L$71,4,FALSE)</f>
        <v>chges</v>
      </c>
      <c r="S686" s="271">
        <f>VLOOKUP($N686,'2 CODIFICATION'!$G$5:$L$71,5,FALSE)</f>
        <v>62</v>
      </c>
      <c r="T686" s="270" t="str">
        <f>VLOOKUP($N686,'2 CODIFICATION'!$G$5:$L$71,6,FALSE)</f>
        <v>Autres services extérieurs</v>
      </c>
    </row>
    <row r="687" spans="1:20" hidden="1">
      <c r="A687" s="201" t="s">
        <v>170</v>
      </c>
      <c r="B687" s="508" t="s">
        <v>79</v>
      </c>
      <c r="D687" s="844">
        <v>45315</v>
      </c>
      <c r="E687" s="845" t="s">
        <v>909</v>
      </c>
      <c r="G687" s="846"/>
      <c r="H687" s="846">
        <v>13082</v>
      </c>
      <c r="I687" s="477">
        <f t="shared" si="75"/>
        <v>-6854.6199999999963</v>
      </c>
      <c r="J687" s="466" t="s">
        <v>527</v>
      </c>
      <c r="K687" s="20">
        <f t="shared" si="76"/>
        <v>6110</v>
      </c>
      <c r="L687" s="74" t="str">
        <f>VLOOKUP($J687,'2 CODIFICATION'!A$5:B$21,2,"FAUX")</f>
        <v>TOILETTES ECOSAN</v>
      </c>
      <c r="M687" s="74" t="str">
        <f>VLOOKUP($K687,'2 CODIFICATION'!D$8:E$64,2,"FAUX")</f>
        <v>Sous traitance projet</v>
      </c>
      <c r="N687" s="74">
        <v>611000</v>
      </c>
      <c r="O687" s="206">
        <f t="shared" si="77"/>
        <v>-13082</v>
      </c>
      <c r="P687" s="74">
        <f t="shared" si="78"/>
        <v>2024</v>
      </c>
      <c r="Q687" s="270" t="str">
        <f>VLOOKUP($N687,'2 CODIFICATION'!$G$5:$L$71,3,FALSE)</f>
        <v xml:space="preserve">Sous-traitance générale </v>
      </c>
      <c r="R687" s="271" t="str">
        <f>VLOOKUP($N687,'2 CODIFICATION'!$G$5:$L$71,4,FALSE)</f>
        <v>chges</v>
      </c>
      <c r="S687" s="271">
        <f>VLOOKUP($N687,'2 CODIFICATION'!$G$5:$L$71,5,FALSE)</f>
        <v>61</v>
      </c>
      <c r="T687" s="270" t="str">
        <f>VLOOKUP($N687,'2 CODIFICATION'!$G$5:$L$71,6,FALSE)</f>
        <v>Services extérieurs</v>
      </c>
    </row>
    <row r="688" spans="1:20" hidden="1">
      <c r="A688" s="201" t="s">
        <v>170</v>
      </c>
      <c r="B688" s="508" t="s">
        <v>79</v>
      </c>
      <c r="D688" s="844">
        <v>45315</v>
      </c>
      <c r="E688" s="845" t="s">
        <v>258</v>
      </c>
      <c r="G688" s="846">
        <v>13082</v>
      </c>
      <c r="H688" s="846"/>
      <c r="I688" s="477">
        <f t="shared" si="75"/>
        <v>6227.3800000000037</v>
      </c>
      <c r="J688" s="466" t="s">
        <v>527</v>
      </c>
      <c r="K688" s="20">
        <f t="shared" si="76"/>
        <v>4010</v>
      </c>
      <c r="L688" s="74" t="str">
        <f>VLOOKUP($J688,'2 CODIFICATION'!A$5:B$21,2,"FAUX")</f>
        <v>TOILETTES ECOSAN</v>
      </c>
      <c r="M688" s="74" t="str">
        <f>VLOOKUP($K688,'2 CODIFICATION'!D$5:E$64,2,"FAUX")</f>
        <v>Fournisseurs</v>
      </c>
      <c r="N688" s="74">
        <v>401000</v>
      </c>
      <c r="O688" s="206">
        <f t="shared" si="77"/>
        <v>13082</v>
      </c>
      <c r="P688" s="74">
        <f t="shared" si="78"/>
        <v>2024</v>
      </c>
      <c r="Q688" s="270" t="str">
        <f>VLOOKUP($N688,'2 CODIFICATION'!$G$5:$L$71,3,FALSE)</f>
        <v>Fournisseurs</v>
      </c>
      <c r="R688" s="271" t="str">
        <f>VLOOKUP($N688,'2 CODIFICATION'!$G$5:$L$71,4,FALSE)</f>
        <v>bilan</v>
      </c>
      <c r="S688" s="271">
        <f>VLOOKUP($N688,'2 CODIFICATION'!$G$5:$L$71,5,FALSE)</f>
        <v>40</v>
      </c>
      <c r="T688" s="270" t="str">
        <f>VLOOKUP($N688,'2 CODIFICATION'!$G$5:$L$71,6,FALSE)</f>
        <v>Fournisseurs</v>
      </c>
    </row>
    <row r="689" spans="1:20" hidden="1">
      <c r="A689" s="201" t="s">
        <v>170</v>
      </c>
      <c r="B689" s="508" t="s">
        <v>79</v>
      </c>
      <c r="D689" s="844">
        <v>45315</v>
      </c>
      <c r="E689" s="845" t="s">
        <v>910</v>
      </c>
      <c r="G689" s="846"/>
      <c r="H689" s="846">
        <v>551.53</v>
      </c>
      <c r="I689" s="477">
        <f t="shared" si="75"/>
        <v>5675.850000000004</v>
      </c>
      <c r="J689" s="466" t="s">
        <v>527</v>
      </c>
      <c r="K689" s="20">
        <f t="shared" si="76"/>
        <v>6230</v>
      </c>
      <c r="L689" s="74" t="str">
        <f>VLOOKUP($J689,'2 CODIFICATION'!A$5:B$21,2,"FAUX")</f>
        <v>TOILETTES ECOSAN</v>
      </c>
      <c r="M689" s="74" t="str">
        <f>VLOOKUP($K689,'2 CODIFICATION'!D$8:E$64,2,"FAUX")</f>
        <v>communication</v>
      </c>
      <c r="N689" s="74">
        <v>623000</v>
      </c>
      <c r="O689" s="206">
        <f t="shared" si="77"/>
        <v>-551.53</v>
      </c>
      <c r="P689" s="74">
        <f t="shared" si="78"/>
        <v>2024</v>
      </c>
      <c r="Q689" s="270" t="str">
        <f>VLOOKUP($N689,'2 CODIFICATION'!$G$5:$L$71,3,FALSE)</f>
        <v>Publicité, publications, Création de site web</v>
      </c>
      <c r="R689" s="271" t="str">
        <f>VLOOKUP($N689,'2 CODIFICATION'!$G$5:$L$71,4,FALSE)</f>
        <v>chges</v>
      </c>
      <c r="S689" s="271">
        <f>VLOOKUP($N689,'2 CODIFICATION'!$G$5:$L$71,5,FALSE)</f>
        <v>62</v>
      </c>
      <c r="T689" s="270" t="str">
        <f>VLOOKUP($N689,'2 CODIFICATION'!$G$5:$L$71,6,FALSE)</f>
        <v>Autres services extérieurs</v>
      </c>
    </row>
    <row r="690" spans="1:20" hidden="1">
      <c r="A690" s="201" t="s">
        <v>170</v>
      </c>
      <c r="B690" s="508" t="s">
        <v>79</v>
      </c>
      <c r="D690" s="844">
        <v>45315</v>
      </c>
      <c r="E690" s="845" t="s">
        <v>911</v>
      </c>
      <c r="G690" s="846"/>
      <c r="H690" s="846">
        <v>70.989999999999995</v>
      </c>
      <c r="I690" s="477">
        <f t="shared" si="75"/>
        <v>5604.8600000000042</v>
      </c>
      <c r="J690" s="466" t="s">
        <v>527</v>
      </c>
      <c r="K690" s="20">
        <f t="shared" si="76"/>
        <v>6250</v>
      </c>
      <c r="L690" s="74" t="str">
        <f>VLOOKUP($J690,'2 CODIFICATION'!A$5:B$21,2,"FAUX")</f>
        <v>TOILETTES ECOSAN</v>
      </c>
      <c r="M690" s="74" t="str">
        <f>VLOOKUP($K690,'2 CODIFICATION'!D$8:E$64,2,"FAUX")</f>
        <v>déplacements</v>
      </c>
      <c r="N690" s="74">
        <v>625000</v>
      </c>
      <c r="O690" s="206">
        <f t="shared" si="77"/>
        <v>-70.989999999999995</v>
      </c>
      <c r="P690" s="74">
        <f t="shared" si="78"/>
        <v>2024</v>
      </c>
      <c r="Q690" s="270" t="str">
        <f>VLOOKUP($N690,'2 CODIFICATION'!$G$5:$L$71,3,FALSE)</f>
        <v>Déplacements, missions et réceptions</v>
      </c>
      <c r="R690" s="271" t="str">
        <f>VLOOKUP($N690,'2 CODIFICATION'!$G$5:$L$71,4,FALSE)</f>
        <v>chges</v>
      </c>
      <c r="S690" s="271">
        <f>VLOOKUP($N690,'2 CODIFICATION'!$G$5:$L$71,5,FALSE)</f>
        <v>62</v>
      </c>
      <c r="T690" s="270" t="str">
        <f>VLOOKUP($N690,'2 CODIFICATION'!$G$5:$L$71,6,FALSE)</f>
        <v>Autres services extérieurs</v>
      </c>
    </row>
    <row r="691" spans="1:20" hidden="1">
      <c r="A691" s="201" t="s">
        <v>170</v>
      </c>
      <c r="B691" s="508" t="s">
        <v>79</v>
      </c>
      <c r="D691" s="844">
        <v>45315</v>
      </c>
      <c r="E691" s="845" t="s">
        <v>911</v>
      </c>
      <c r="G691" s="846"/>
      <c r="H691" s="846">
        <v>5122.91</v>
      </c>
      <c r="I691" s="477">
        <f t="shared" si="75"/>
        <v>481.95000000000437</v>
      </c>
      <c r="J691" s="466" t="s">
        <v>527</v>
      </c>
      <c r="K691" s="20">
        <f t="shared" si="76"/>
        <v>6250</v>
      </c>
      <c r="L691" s="74" t="str">
        <f>VLOOKUP($J691,'2 CODIFICATION'!A$5:B$21,2,"FAUX")</f>
        <v>TOILETTES ECOSAN</v>
      </c>
      <c r="M691" s="74" t="str">
        <f>VLOOKUP($K691,'2 CODIFICATION'!D$8:E$64,2,"FAUX")</f>
        <v>déplacements</v>
      </c>
      <c r="N691" s="74">
        <v>625000</v>
      </c>
      <c r="O691" s="206">
        <f t="shared" si="77"/>
        <v>-5122.91</v>
      </c>
      <c r="P691" s="74">
        <f t="shared" si="78"/>
        <v>2024</v>
      </c>
      <c r="Q691" s="270" t="str">
        <f>VLOOKUP($N691,'2 CODIFICATION'!$G$5:$L$71,3,FALSE)</f>
        <v>Déplacements, missions et réceptions</v>
      </c>
      <c r="R691" s="271" t="str">
        <f>VLOOKUP($N691,'2 CODIFICATION'!$G$5:$L$71,4,FALSE)</f>
        <v>chges</v>
      </c>
      <c r="S691" s="271">
        <f>VLOOKUP($N691,'2 CODIFICATION'!$G$5:$L$71,5,FALSE)</f>
        <v>62</v>
      </c>
      <c r="T691" s="270" t="str">
        <f>VLOOKUP($N691,'2 CODIFICATION'!$G$5:$L$71,6,FALSE)</f>
        <v>Autres services extérieurs</v>
      </c>
    </row>
    <row r="692" spans="1:20" hidden="1">
      <c r="A692" s="201" t="s">
        <v>170</v>
      </c>
      <c r="B692" s="508" t="s">
        <v>79</v>
      </c>
      <c r="D692" s="844">
        <v>45315</v>
      </c>
      <c r="E692" s="845" t="s">
        <v>912</v>
      </c>
      <c r="G692" s="846"/>
      <c r="H692" s="846">
        <v>119.01</v>
      </c>
      <c r="I692" s="477">
        <f t="shared" si="75"/>
        <v>362.94000000000437</v>
      </c>
      <c r="J692" s="466" t="s">
        <v>527</v>
      </c>
      <c r="K692" s="20">
        <f t="shared" si="76"/>
        <v>6261</v>
      </c>
      <c r="L692" s="74" t="str">
        <f>VLOOKUP($J692,'2 CODIFICATION'!A$5:B$21,2,"FAUX")</f>
        <v>TOILETTES ECOSAN</v>
      </c>
      <c r="M692" s="74" t="str">
        <f>VLOOKUP($K692,'2 CODIFICATION'!D$8:E$64,2,"FAUX")</f>
        <v>Frais d'envoi</v>
      </c>
      <c r="N692" s="74">
        <v>626100</v>
      </c>
      <c r="O692" s="206">
        <f t="shared" si="77"/>
        <v>-119.01</v>
      </c>
      <c r="P692" s="74">
        <f t="shared" si="78"/>
        <v>2024</v>
      </c>
      <c r="Q692" s="270" t="str">
        <f>VLOOKUP($N692,'2 CODIFICATION'!$G$5:$L$71,3,FALSE)</f>
        <v>Frais postaux</v>
      </c>
      <c r="R692" s="271" t="str">
        <f>VLOOKUP($N692,'2 CODIFICATION'!$G$5:$L$71,4,FALSE)</f>
        <v>chges</v>
      </c>
      <c r="S692" s="271">
        <f>VLOOKUP($N692,'2 CODIFICATION'!$G$5:$L$71,5,FALSE)</f>
        <v>62</v>
      </c>
      <c r="T692" s="270" t="str">
        <f>VLOOKUP($N692,'2 CODIFICATION'!$G$5:$L$71,6,FALSE)</f>
        <v>Autres services extérieurs</v>
      </c>
    </row>
    <row r="693" spans="1:20" hidden="1">
      <c r="A693" s="201" t="s">
        <v>170</v>
      </c>
      <c r="B693" s="508" t="s">
        <v>79</v>
      </c>
      <c r="D693" s="844">
        <v>45315</v>
      </c>
      <c r="E693" s="845" t="s">
        <v>258</v>
      </c>
      <c r="G693" s="846">
        <v>1083.99</v>
      </c>
      <c r="H693" s="846"/>
      <c r="I693" s="477">
        <f t="shared" si="75"/>
        <v>1446.9300000000044</v>
      </c>
      <c r="J693" s="466" t="s">
        <v>273</v>
      </c>
      <c r="K693" s="20">
        <f t="shared" si="76"/>
        <v>6110</v>
      </c>
      <c r="L693" s="74" t="str">
        <f>VLOOKUP($J693,'2 CODIFICATION'!A$5:B$21,2,"FAUX")</f>
        <v>ADMINIST ET FONCT</v>
      </c>
      <c r="M693" s="74" t="str">
        <f>VLOOKUP($K693,'2 CODIFICATION'!D$5:E$64,2,"FAUX")</f>
        <v>Sous traitance projet</v>
      </c>
      <c r="N693" s="74">
        <v>611000</v>
      </c>
      <c r="O693" s="206">
        <f t="shared" si="77"/>
        <v>1083.99</v>
      </c>
      <c r="P693" s="74">
        <f t="shared" si="78"/>
        <v>2024</v>
      </c>
      <c r="Q693" s="270" t="str">
        <f>VLOOKUP($N693,'2 CODIFICATION'!$G$5:$L$71,3,FALSE)</f>
        <v xml:space="preserve">Sous-traitance générale </v>
      </c>
      <c r="R693" s="271" t="str">
        <f>VLOOKUP($N693,'2 CODIFICATION'!$G$5:$L$71,4,FALSE)</f>
        <v>chges</v>
      </c>
      <c r="S693" s="271">
        <f>VLOOKUP($N693,'2 CODIFICATION'!$G$5:$L$71,5,FALSE)</f>
        <v>61</v>
      </c>
      <c r="T693" s="270" t="str">
        <f>VLOOKUP($N693,'2 CODIFICATION'!$G$5:$L$71,6,FALSE)</f>
        <v>Services extérieurs</v>
      </c>
    </row>
    <row r="694" spans="1:20" hidden="1">
      <c r="A694" s="201" t="s">
        <v>170</v>
      </c>
      <c r="B694" s="508" t="s">
        <v>79</v>
      </c>
      <c r="D694" s="844">
        <v>45318</v>
      </c>
      <c r="E694" s="845" t="s">
        <v>921</v>
      </c>
      <c r="G694" s="846">
        <v>3000</v>
      </c>
      <c r="H694" s="846"/>
      <c r="I694" s="477">
        <f t="shared" si="75"/>
        <v>4446.9300000000039</v>
      </c>
      <c r="J694" s="466" t="s">
        <v>527</v>
      </c>
      <c r="K694" s="20">
        <f t="shared" si="76"/>
        <v>4500</v>
      </c>
      <c r="L694" s="74" t="str">
        <f>VLOOKUP($J694,'2 CODIFICATION'!A$5:B$21,2,"FAUX")</f>
        <v>TOILETTES ECOSAN</v>
      </c>
      <c r="M694" s="74" t="str">
        <f>VLOOKUP($K694,'2 CODIFICATION'!D$3:E$64,2,"FAUX")</f>
        <v>Compte courant</v>
      </c>
      <c r="N694" s="74">
        <v>450000</v>
      </c>
      <c r="O694" s="206">
        <f t="shared" si="77"/>
        <v>3000</v>
      </c>
      <c r="P694" s="74">
        <f t="shared" si="78"/>
        <v>2024</v>
      </c>
      <c r="Q694" s="270" t="str">
        <f>VLOOKUP($N694,'2 CODIFICATION'!$G$5:$L$71,3,FALSE)</f>
        <v>Compte courant</v>
      </c>
      <c r="R694" s="271" t="str">
        <f>VLOOKUP($N694,'2 CODIFICATION'!$G$5:$L$71,4,FALSE)</f>
        <v>bilan</v>
      </c>
      <c r="S694" s="271">
        <f>VLOOKUP($N694,'2 CODIFICATION'!$G$5:$L$71,5,FALSE)</f>
        <v>45</v>
      </c>
      <c r="T694" s="270" t="str">
        <f>VLOOKUP($N694,'2 CODIFICATION'!$G$5:$L$71,6,FALSE)</f>
        <v>Compte courant</v>
      </c>
    </row>
    <row r="695" spans="1:20" ht="21.5" hidden="1">
      <c r="A695" s="201" t="s">
        <v>170</v>
      </c>
      <c r="B695" s="508" t="s">
        <v>79</v>
      </c>
      <c r="D695" s="844">
        <v>45321</v>
      </c>
      <c r="E695" s="845" t="s">
        <v>631</v>
      </c>
      <c r="G695" s="846"/>
      <c r="H695" s="846">
        <v>19.399999999999999</v>
      </c>
      <c r="I695" s="477">
        <f t="shared" si="75"/>
        <v>4427.5300000000043</v>
      </c>
      <c r="J695" s="902" t="s">
        <v>273</v>
      </c>
      <c r="K695" s="20">
        <f t="shared" si="76"/>
        <v>6261</v>
      </c>
      <c r="L695" s="74" t="str">
        <f>VLOOKUP($J695,'2 CODIFICATION'!A$5:B$21,2,"FAUX")</f>
        <v>ADMINIST ET FONCT</v>
      </c>
      <c r="M695" s="74" t="str">
        <f>VLOOKUP($K695,'2 CODIFICATION'!D$8:E$64,2,"FAUX")</f>
        <v>Frais d'envoi</v>
      </c>
      <c r="N695" s="74">
        <v>626100</v>
      </c>
      <c r="O695" s="206">
        <f t="shared" si="77"/>
        <v>-19.399999999999999</v>
      </c>
      <c r="P695" s="74">
        <f t="shared" si="78"/>
        <v>2024</v>
      </c>
      <c r="Q695" s="270" t="str">
        <f>VLOOKUP($N695,'2 CODIFICATION'!$G$5:$L$71,3,FALSE)</f>
        <v>Frais postaux</v>
      </c>
      <c r="R695" s="271" t="str">
        <f>VLOOKUP($N695,'2 CODIFICATION'!$G$5:$L$71,4,FALSE)</f>
        <v>chges</v>
      </c>
      <c r="S695" s="271">
        <f>VLOOKUP($N695,'2 CODIFICATION'!$G$5:$L$71,5,FALSE)</f>
        <v>62</v>
      </c>
      <c r="T695" s="270" t="str">
        <f>VLOOKUP($N695,'2 CODIFICATION'!$G$5:$L$71,6,FALSE)</f>
        <v>Autres services extérieurs</v>
      </c>
    </row>
    <row r="696" spans="1:20" ht="21.5" hidden="1">
      <c r="A696" s="201" t="s">
        <v>170</v>
      </c>
      <c r="B696" s="508" t="s">
        <v>79</v>
      </c>
      <c r="D696" s="844">
        <v>45321</v>
      </c>
      <c r="E696" s="845" t="s">
        <v>814</v>
      </c>
      <c r="G696" s="846"/>
      <c r="H696" s="846">
        <v>8000</v>
      </c>
      <c r="I696" s="477">
        <f t="shared" si="75"/>
        <v>-3572.4699999999957</v>
      </c>
      <c r="J696" s="466" t="s">
        <v>527</v>
      </c>
      <c r="K696" s="20">
        <f t="shared" si="76"/>
        <v>6110</v>
      </c>
      <c r="L696" s="74" t="str">
        <f>VLOOKUP($J696,'2 CODIFICATION'!A$5:B$21,2,"FAUX")</f>
        <v>TOILETTES ECOSAN</v>
      </c>
      <c r="M696" s="74" t="str">
        <f>VLOOKUP($K696,'2 CODIFICATION'!D$8:E$64,2,"FAUX")</f>
        <v>Sous traitance projet</v>
      </c>
      <c r="N696" s="74">
        <v>611000</v>
      </c>
      <c r="O696" s="206">
        <f t="shared" si="77"/>
        <v>-8000</v>
      </c>
      <c r="P696" s="74">
        <f t="shared" si="78"/>
        <v>2024</v>
      </c>
      <c r="Q696" s="270" t="str">
        <f>VLOOKUP($N696,'2 CODIFICATION'!$G$5:$L$71,3,FALSE)</f>
        <v xml:space="preserve">Sous-traitance générale </v>
      </c>
      <c r="R696" s="271" t="str">
        <f>VLOOKUP($N696,'2 CODIFICATION'!$G$5:$L$71,4,FALSE)</f>
        <v>chges</v>
      </c>
      <c r="S696" s="271">
        <f>VLOOKUP($N696,'2 CODIFICATION'!$G$5:$L$71,5,FALSE)</f>
        <v>61</v>
      </c>
      <c r="T696" s="270" t="str">
        <f>VLOOKUP($N696,'2 CODIFICATION'!$G$5:$L$71,6,FALSE)</f>
        <v>Services extérieurs</v>
      </c>
    </row>
    <row r="697" spans="1:20" ht="21.5" hidden="1">
      <c r="A697" s="201" t="s">
        <v>170</v>
      </c>
      <c r="B697" s="508" t="s">
        <v>79</v>
      </c>
      <c r="D697" s="941">
        <v>45321</v>
      </c>
      <c r="E697" s="942" t="s">
        <v>814</v>
      </c>
      <c r="F697" s="943"/>
      <c r="G697" s="933"/>
      <c r="H697" s="933">
        <v>300</v>
      </c>
      <c r="I697" s="477">
        <f t="shared" si="75"/>
        <v>-3872.4699999999957</v>
      </c>
      <c r="J697" s="466" t="s">
        <v>273</v>
      </c>
      <c r="K697" s="20">
        <f t="shared" si="76"/>
        <v>6110</v>
      </c>
      <c r="L697" s="74" t="str">
        <f>VLOOKUP($J697,'2 CODIFICATION'!A$5:B$21,2,"FAUX")</f>
        <v>ADMINIST ET FONCT</v>
      </c>
      <c r="M697" s="74" t="str">
        <f>VLOOKUP($K697,'2 CODIFICATION'!D$8:E$64,2,"FAUX")</f>
        <v>Sous traitance projet</v>
      </c>
      <c r="N697" s="74">
        <v>611000</v>
      </c>
      <c r="O697" s="206">
        <f t="shared" si="77"/>
        <v>-300</v>
      </c>
      <c r="P697" s="74">
        <f t="shared" si="78"/>
        <v>2024</v>
      </c>
      <c r="Q697" s="270" t="str">
        <f>VLOOKUP($N697,'2 CODIFICATION'!$G$5:$L$71,3,FALSE)</f>
        <v xml:space="preserve">Sous-traitance générale </v>
      </c>
      <c r="R697" s="271" t="str">
        <f>VLOOKUP($N697,'2 CODIFICATION'!$G$5:$L$71,4,FALSE)</f>
        <v>chges</v>
      </c>
      <c r="S697" s="271">
        <f>VLOOKUP($N697,'2 CODIFICATION'!$G$5:$L$71,5,FALSE)</f>
        <v>61</v>
      </c>
      <c r="T697" s="270" t="str">
        <f>VLOOKUP($N697,'2 CODIFICATION'!$G$5:$L$71,6,FALSE)</f>
        <v>Services extérieurs</v>
      </c>
    </row>
    <row r="698" spans="1:20" ht="31.5" hidden="1">
      <c r="A698" s="201" t="s">
        <v>170</v>
      </c>
      <c r="B698" s="508" t="s">
        <v>79</v>
      </c>
      <c r="D698" s="844">
        <v>45322</v>
      </c>
      <c r="E698" s="845" t="s">
        <v>813</v>
      </c>
      <c r="G698" s="933">
        <v>20</v>
      </c>
      <c r="H698" s="846"/>
      <c r="I698" s="477">
        <f t="shared" si="75"/>
        <v>-3852.4699999999957</v>
      </c>
      <c r="J698" s="466" t="s">
        <v>273</v>
      </c>
      <c r="K698" s="20">
        <f t="shared" si="76"/>
        <v>7581</v>
      </c>
      <c r="L698" s="74" t="str">
        <f>VLOOKUP($J698,'2 CODIFICATION'!A$5:B$21,2,"FAUX")</f>
        <v>ADMINIST ET FONCT</v>
      </c>
      <c r="M698" s="74" t="str">
        <f>VLOOKUP($K698,'2 CODIFICATION'!D$8:E$64,2,"FAUX")</f>
        <v>Adhésions association</v>
      </c>
      <c r="N698" s="74">
        <v>758100</v>
      </c>
      <c r="O698" s="206">
        <f t="shared" si="77"/>
        <v>20</v>
      </c>
      <c r="P698" s="74">
        <f t="shared" si="78"/>
        <v>2024</v>
      </c>
      <c r="Q698" s="270" t="str">
        <f>VLOOKUP($N698,'2 CODIFICATION'!$G$5:$L$71,3,FALSE)</f>
        <v>Cotisations individuelles et associatives</v>
      </c>
      <c r="R698" s="271" t="str">
        <f>VLOOKUP($N698,'2 CODIFICATION'!$G$5:$L$71,4,FALSE)</f>
        <v>pdts</v>
      </c>
      <c r="S698" s="271">
        <f>VLOOKUP($N698,'2 CODIFICATION'!$G$5:$L$71,5,FALSE)</f>
        <v>75</v>
      </c>
      <c r="T698" s="270" t="str">
        <f>VLOOKUP($N698,'2 CODIFICATION'!$G$5:$L$71,6,FALSE)</f>
        <v>Autres produits de gestion courante</v>
      </c>
    </row>
    <row r="699" spans="1:20" ht="41.5" hidden="1">
      <c r="A699" s="201" t="s">
        <v>170</v>
      </c>
      <c r="B699" s="508" t="s">
        <v>79</v>
      </c>
      <c r="D699" s="844">
        <v>45337</v>
      </c>
      <c r="E699" s="845" t="s">
        <v>812</v>
      </c>
      <c r="G699" s="933">
        <v>20</v>
      </c>
      <c r="H699" s="846"/>
      <c r="I699" s="477">
        <f t="shared" si="75"/>
        <v>-3832.4699999999957</v>
      </c>
      <c r="J699" s="466" t="s">
        <v>273</v>
      </c>
      <c r="K699" s="20">
        <f t="shared" si="76"/>
        <v>7581</v>
      </c>
      <c r="L699" s="74" t="str">
        <f>VLOOKUP($J699,'2 CODIFICATION'!A$5:B$21,2,"FAUX")</f>
        <v>ADMINIST ET FONCT</v>
      </c>
      <c r="M699" s="74" t="str">
        <f>VLOOKUP($K699,'2 CODIFICATION'!D$8:E$64,2,"FAUX")</f>
        <v>Adhésions association</v>
      </c>
      <c r="N699" s="74">
        <v>758100</v>
      </c>
      <c r="O699" s="206">
        <f t="shared" si="77"/>
        <v>20</v>
      </c>
      <c r="P699" s="74">
        <f t="shared" si="78"/>
        <v>2024</v>
      </c>
      <c r="Q699" s="270" t="str">
        <f>VLOOKUP($N699,'2 CODIFICATION'!$G$5:$L$71,3,FALSE)</f>
        <v>Cotisations individuelles et associatives</v>
      </c>
      <c r="R699" s="271" t="str">
        <f>VLOOKUP($N699,'2 CODIFICATION'!$G$5:$L$71,4,FALSE)</f>
        <v>pdts</v>
      </c>
      <c r="S699" s="271">
        <f>VLOOKUP($N699,'2 CODIFICATION'!$G$5:$L$71,5,FALSE)</f>
        <v>75</v>
      </c>
      <c r="T699" s="270" t="str">
        <f>VLOOKUP($N699,'2 CODIFICATION'!$G$5:$L$71,6,FALSE)</f>
        <v>Autres produits de gestion courante</v>
      </c>
    </row>
    <row r="700" spans="1:20" ht="21.5" hidden="1">
      <c r="A700" s="201" t="s">
        <v>170</v>
      </c>
      <c r="B700" s="508" t="s">
        <v>79</v>
      </c>
      <c r="D700" s="844">
        <v>45343</v>
      </c>
      <c r="E700" s="845" t="s">
        <v>856</v>
      </c>
      <c r="G700" s="846">
        <v>100</v>
      </c>
      <c r="H700" s="846"/>
      <c r="I700" s="477">
        <f t="shared" si="75"/>
        <v>-3732.4699999999957</v>
      </c>
      <c r="J700" s="466" t="s">
        <v>273</v>
      </c>
      <c r="K700" s="20">
        <f t="shared" si="76"/>
        <v>7581</v>
      </c>
      <c r="L700" s="74" t="str">
        <f>VLOOKUP($J700,'2 CODIFICATION'!A$5:B$21,2,"FAUX")</f>
        <v>ADMINIST ET FONCT</v>
      </c>
      <c r="M700" s="74" t="str">
        <f>VLOOKUP($K700,'2 CODIFICATION'!D$8:E$64,2,"FAUX")</f>
        <v>Adhésions association</v>
      </c>
      <c r="N700" s="74">
        <v>758100</v>
      </c>
      <c r="O700" s="206">
        <f t="shared" si="77"/>
        <v>100</v>
      </c>
      <c r="P700" s="74">
        <f t="shared" si="78"/>
        <v>2024</v>
      </c>
      <c r="Q700" s="270" t="str">
        <f>VLOOKUP($N700,'2 CODIFICATION'!$G$5:$L$71,3,FALSE)</f>
        <v>Cotisations individuelles et associatives</v>
      </c>
      <c r="R700" s="271" t="str">
        <f>VLOOKUP($N700,'2 CODIFICATION'!$G$5:$L$71,4,FALSE)</f>
        <v>pdts</v>
      </c>
      <c r="S700" s="271">
        <f>VLOOKUP($N700,'2 CODIFICATION'!$G$5:$L$71,5,FALSE)</f>
        <v>75</v>
      </c>
      <c r="T700" s="270" t="str">
        <f>VLOOKUP($N700,'2 CODIFICATION'!$G$5:$L$71,6,FALSE)</f>
        <v>Autres produits de gestion courante</v>
      </c>
    </row>
    <row r="701" spans="1:20" hidden="1">
      <c r="A701" s="201" t="s">
        <v>170</v>
      </c>
      <c r="B701" s="508" t="s">
        <v>79</v>
      </c>
      <c r="D701" s="899">
        <v>45351</v>
      </c>
      <c r="E701" s="900" t="s">
        <v>854</v>
      </c>
      <c r="G701" s="932">
        <v>50</v>
      </c>
      <c r="H701" s="901"/>
      <c r="I701" s="477">
        <f t="shared" si="75"/>
        <v>-3682.4699999999957</v>
      </c>
      <c r="J701" s="466" t="s">
        <v>273</v>
      </c>
      <c r="K701" s="20">
        <f t="shared" si="76"/>
        <v>7581</v>
      </c>
      <c r="L701" s="74" t="str">
        <f>VLOOKUP($J701,'2 CODIFICATION'!A$5:B$21,2,"FAUX")</f>
        <v>ADMINIST ET FONCT</v>
      </c>
      <c r="M701" s="74" t="str">
        <f>VLOOKUP($K701,'2 CODIFICATION'!D$8:E$64,2,"FAUX")</f>
        <v>Adhésions association</v>
      </c>
      <c r="N701" s="74">
        <v>758100</v>
      </c>
      <c r="O701" s="206">
        <f t="shared" si="77"/>
        <v>50</v>
      </c>
      <c r="P701" s="74">
        <f t="shared" si="78"/>
        <v>2024</v>
      </c>
      <c r="Q701" s="270" t="str">
        <f>VLOOKUP($N701,'2 CODIFICATION'!$G$5:$L$71,3,FALSE)</f>
        <v>Cotisations individuelles et associatives</v>
      </c>
      <c r="R701" s="271" t="str">
        <f>VLOOKUP($N701,'2 CODIFICATION'!$G$5:$L$71,4,FALSE)</f>
        <v>pdts</v>
      </c>
      <c r="S701" s="271">
        <f>VLOOKUP($N701,'2 CODIFICATION'!$G$5:$L$71,5,FALSE)</f>
        <v>75</v>
      </c>
      <c r="T701" s="270" t="str">
        <f>VLOOKUP($N701,'2 CODIFICATION'!$G$5:$L$71,6,FALSE)</f>
        <v>Autres produits de gestion courante</v>
      </c>
    </row>
    <row r="702" spans="1:20" hidden="1">
      <c r="A702" s="201" t="s">
        <v>170</v>
      </c>
      <c r="B702" s="508" t="s">
        <v>79</v>
      </c>
      <c r="D702" s="899">
        <v>45365</v>
      </c>
      <c r="E702" s="900" t="s">
        <v>847</v>
      </c>
      <c r="G702" s="932">
        <v>40</v>
      </c>
      <c r="H702" s="901"/>
      <c r="I702" s="477">
        <f t="shared" si="75"/>
        <v>-3642.4699999999957</v>
      </c>
      <c r="J702" s="466" t="s">
        <v>273</v>
      </c>
      <c r="K702" s="20">
        <f t="shared" si="76"/>
        <v>7771</v>
      </c>
      <c r="L702" s="74" t="str">
        <f>VLOOKUP($J702,'2 CODIFICATION'!A$5:B$21,2,"FAUX")</f>
        <v>ADMINIST ET FONCT</v>
      </c>
      <c r="M702" s="74" t="str">
        <f>VLOOKUP($K702,'2 CODIFICATION'!D$8:E$64,2,"FAUX")</f>
        <v>Dons et participations à l"association</v>
      </c>
      <c r="N702" s="74">
        <v>777100</v>
      </c>
      <c r="O702" s="206">
        <f t="shared" si="77"/>
        <v>40</v>
      </c>
      <c r="P702" s="74">
        <f t="shared" si="78"/>
        <v>2024</v>
      </c>
      <c r="Q702" s="270" t="str">
        <f>VLOOKUP($N702,'2 CODIFICATION'!$G$5:$L$71,3,FALSE)</f>
        <v>Dons et autres mises à dispositions gratuites</v>
      </c>
      <c r="R702" s="271" t="str">
        <f>VLOOKUP($N702,'2 CODIFICATION'!$G$5:$L$71,4,FALSE)</f>
        <v>pdts</v>
      </c>
      <c r="S702" s="271">
        <f>VLOOKUP($N702,'2 CODIFICATION'!$G$5:$L$71,5,FALSE)</f>
        <v>77</v>
      </c>
      <c r="T702" s="270" t="str">
        <f>VLOOKUP($N702,'2 CODIFICATION'!$G$5:$L$71,6,FALSE)</f>
        <v>Produits exceptionnels</v>
      </c>
    </row>
    <row r="703" spans="1:20" hidden="1">
      <c r="A703" s="201" t="s">
        <v>170</v>
      </c>
      <c r="B703" s="508" t="s">
        <v>79</v>
      </c>
      <c r="D703" s="899">
        <v>45370</v>
      </c>
      <c r="E703" s="900" t="s">
        <v>846</v>
      </c>
      <c r="G703" s="901">
        <v>9000</v>
      </c>
      <c r="H703" s="901"/>
      <c r="I703" s="477">
        <f t="shared" si="75"/>
        <v>5357.5300000000043</v>
      </c>
      <c r="J703" s="466" t="s">
        <v>527</v>
      </c>
      <c r="K703" s="20">
        <f t="shared" si="76"/>
        <v>7410</v>
      </c>
      <c r="L703" s="74" t="str">
        <f>VLOOKUP($J703,'2 CODIFICATION'!A$5:B$21,2,"FAUX")</f>
        <v>TOILETTES ECOSAN</v>
      </c>
      <c r="M703" s="74" t="str">
        <f>VLOOKUP($K703,'2 CODIFICATION'!D$8:E$64,2,"FAUX")</f>
        <v>Subventions Région Nouvelle Aquitaine</v>
      </c>
      <c r="N703" s="74">
        <v>741000</v>
      </c>
      <c r="O703" s="206">
        <f t="shared" si="77"/>
        <v>9000</v>
      </c>
      <c r="P703" s="74">
        <f t="shared" si="78"/>
        <v>2024</v>
      </c>
      <c r="Q703" s="270" t="str">
        <f>VLOOKUP($N703,'2 CODIFICATION'!$G$5:$L$71,3,FALSE)</f>
        <v>Région Nouvelle-Aquitaine</v>
      </c>
      <c r="R703" s="271" t="str">
        <f>VLOOKUP($N703,'2 CODIFICATION'!$G$5:$L$71,4,FALSE)</f>
        <v>pdts</v>
      </c>
      <c r="S703" s="271">
        <f>VLOOKUP($N703,'2 CODIFICATION'!$G$5:$L$71,5,FALSE)</f>
        <v>74</v>
      </c>
      <c r="T703" s="270" t="str">
        <f>VLOOKUP($N703,'2 CODIFICATION'!$G$5:$L$71,6,FALSE)</f>
        <v>Subventions d'exploitation</v>
      </c>
    </row>
    <row r="704" spans="1:20" hidden="1">
      <c r="A704" s="201" t="s">
        <v>170</v>
      </c>
      <c r="B704" s="508" t="s">
        <v>79</v>
      </c>
      <c r="D704" s="899">
        <v>45379</v>
      </c>
      <c r="E704" s="934" t="s">
        <v>845</v>
      </c>
      <c r="F704" s="1274"/>
      <c r="G704" s="936">
        <v>320</v>
      </c>
      <c r="H704" s="936"/>
      <c r="I704" s="477">
        <f t="shared" si="75"/>
        <v>5677.5300000000043</v>
      </c>
      <c r="J704" s="902" t="s">
        <v>273</v>
      </c>
      <c r="K704" s="20">
        <f t="shared" si="76"/>
        <v>7771</v>
      </c>
      <c r="L704" s="74" t="str">
        <f>VLOOKUP($J704,'2 CODIFICATION'!A$5:B$21,2,"FAUX")</f>
        <v>ADMINIST ET FONCT</v>
      </c>
      <c r="M704" s="74" t="str">
        <f>VLOOKUP($K704,'2 CODIFICATION'!D$8:E$64,2,"FAUX")</f>
        <v>Dons et participations à l"association</v>
      </c>
      <c r="N704" s="74">
        <v>777100</v>
      </c>
      <c r="O704" s="206">
        <f t="shared" si="77"/>
        <v>320</v>
      </c>
      <c r="P704" s="74">
        <f t="shared" si="78"/>
        <v>2024</v>
      </c>
      <c r="Q704" s="270" t="str">
        <f>VLOOKUP($N704,'2 CODIFICATION'!$G$5:$L$71,3,FALSE)</f>
        <v>Dons et autres mises à dispositions gratuites</v>
      </c>
      <c r="R704" s="271" t="str">
        <f>VLOOKUP($N704,'2 CODIFICATION'!$G$5:$L$71,4,FALSE)</f>
        <v>pdts</v>
      </c>
      <c r="S704" s="271">
        <f>VLOOKUP($N704,'2 CODIFICATION'!$G$5:$L$71,5,FALSE)</f>
        <v>77</v>
      </c>
      <c r="T704" s="270" t="str">
        <f>VLOOKUP($N704,'2 CODIFICATION'!$G$5:$L$71,6,FALSE)</f>
        <v>Produits exceptionnels</v>
      </c>
    </row>
    <row r="705" spans="1:20" ht="15.5" hidden="1" customHeight="1">
      <c r="A705" s="201" t="s">
        <v>170</v>
      </c>
      <c r="B705" s="508" t="s">
        <v>79</v>
      </c>
      <c r="C705" s="1264"/>
      <c r="D705" s="1267">
        <v>45385</v>
      </c>
      <c r="E705" s="1326" t="s">
        <v>977</v>
      </c>
      <c r="G705" s="1280">
        <v>20</v>
      </c>
      <c r="H705" s="975"/>
      <c r="I705" s="477">
        <f t="shared" si="75"/>
        <v>5697.5300000000043</v>
      </c>
      <c r="J705" s="1284" t="s">
        <v>273</v>
      </c>
      <c r="K705" s="20">
        <f t="shared" si="76"/>
        <v>7581</v>
      </c>
      <c r="L705" s="74" t="str">
        <f>VLOOKUP($J705,'2 CODIFICATION'!A$5:B$21,2,"FAUX")</f>
        <v>ADMINIST ET FONCT</v>
      </c>
      <c r="M705" s="74" t="str">
        <f>VLOOKUP($K705,'2 CODIFICATION'!D$8:E$64,2,"FAUX")</f>
        <v>Adhésions association</v>
      </c>
      <c r="N705" s="74">
        <v>758100</v>
      </c>
      <c r="O705" s="206">
        <f t="shared" si="77"/>
        <v>20</v>
      </c>
      <c r="P705" s="74">
        <f t="shared" si="78"/>
        <v>2024</v>
      </c>
      <c r="Q705" s="270" t="str">
        <f>VLOOKUP($N705,'2 CODIFICATION'!$G$5:$L$71,3,FALSE)</f>
        <v>Cotisations individuelles et associatives</v>
      </c>
      <c r="R705" s="271" t="str">
        <f>VLOOKUP($N705,'2 CODIFICATION'!$G$5:$L$71,4,FALSE)</f>
        <v>pdts</v>
      </c>
      <c r="S705" s="271">
        <f>VLOOKUP($N705,'2 CODIFICATION'!$G$5:$L$71,5,FALSE)</f>
        <v>75</v>
      </c>
      <c r="T705" s="270" t="str">
        <f>VLOOKUP($N705,'2 CODIFICATION'!$G$5:$L$71,6,FALSE)</f>
        <v>Autres produits de gestion courante</v>
      </c>
    </row>
    <row r="706" spans="1:20" ht="15.5" hidden="1" customHeight="1">
      <c r="A706" s="201" t="s">
        <v>170</v>
      </c>
      <c r="B706" s="508" t="s">
        <v>79</v>
      </c>
      <c r="C706" s="1264"/>
      <c r="D706" s="1267">
        <v>45386</v>
      </c>
      <c r="E706" s="1326" t="s">
        <v>946</v>
      </c>
      <c r="G706" s="975"/>
      <c r="H706" s="975">
        <v>20.25</v>
      </c>
      <c r="I706" s="477">
        <f t="shared" si="75"/>
        <v>5677.2800000000043</v>
      </c>
      <c r="J706" s="1285" t="s">
        <v>273</v>
      </c>
      <c r="K706" s="20">
        <f t="shared" si="76"/>
        <v>6261</v>
      </c>
      <c r="L706" s="74" t="str">
        <f>VLOOKUP($J706,'2 CODIFICATION'!A$5:B$21,2,"FAUX")</f>
        <v>ADMINIST ET FONCT</v>
      </c>
      <c r="M706" s="74" t="str">
        <f>VLOOKUP($K706,'2 CODIFICATION'!D$8:E$64,2,"FAUX")</f>
        <v>Frais d'envoi</v>
      </c>
      <c r="N706" s="74">
        <v>626100</v>
      </c>
      <c r="O706" s="206">
        <f t="shared" si="77"/>
        <v>-20.25</v>
      </c>
      <c r="P706" s="74">
        <f t="shared" si="78"/>
        <v>2024</v>
      </c>
      <c r="Q706" s="270" t="str">
        <f>VLOOKUP($N706,'2 CODIFICATION'!$G$5:$L$71,3,FALSE)</f>
        <v>Frais postaux</v>
      </c>
      <c r="R706" s="271" t="str">
        <f>VLOOKUP($N706,'2 CODIFICATION'!$G$5:$L$71,4,FALSE)</f>
        <v>chges</v>
      </c>
      <c r="S706" s="271">
        <f>VLOOKUP($N706,'2 CODIFICATION'!$G$5:$L$71,5,FALSE)</f>
        <v>62</v>
      </c>
      <c r="T706" s="270" t="str">
        <f>VLOOKUP($N706,'2 CODIFICATION'!$G$5:$L$71,6,FALSE)</f>
        <v>Autres services extérieurs</v>
      </c>
    </row>
    <row r="707" spans="1:20" hidden="1">
      <c r="A707" s="201" t="s">
        <v>170</v>
      </c>
      <c r="B707" s="508" t="s">
        <v>79</v>
      </c>
      <c r="D707" s="937">
        <v>45386</v>
      </c>
      <c r="E707" s="940" t="s">
        <v>978</v>
      </c>
      <c r="F707" s="1274"/>
      <c r="G707" s="936"/>
      <c r="H707" s="936">
        <v>300</v>
      </c>
      <c r="I707" s="477">
        <f t="shared" si="75"/>
        <v>5377.2800000000043</v>
      </c>
      <c r="J707" s="902" t="s">
        <v>273</v>
      </c>
      <c r="K707" s="20">
        <f t="shared" si="76"/>
        <v>6110</v>
      </c>
      <c r="L707" s="74" t="str">
        <f>VLOOKUP($J707,'2 CODIFICATION'!A$5:B$21,2,"FAUX")</f>
        <v>ADMINIST ET FONCT</v>
      </c>
      <c r="M707" s="74" t="str">
        <f>VLOOKUP($K707,'2 CODIFICATION'!D$8:E$64,2,"FAUX")</f>
        <v>Sous traitance projet</v>
      </c>
      <c r="N707" s="74">
        <v>611000</v>
      </c>
      <c r="O707" s="206">
        <f t="shared" si="77"/>
        <v>-300</v>
      </c>
      <c r="P707" s="74">
        <f t="shared" si="78"/>
        <v>2024</v>
      </c>
      <c r="Q707" s="270" t="str">
        <f>VLOOKUP($N707,'2 CODIFICATION'!$G$5:$L$71,3,FALSE)</f>
        <v xml:space="preserve">Sous-traitance générale </v>
      </c>
      <c r="R707" s="271" t="str">
        <f>VLOOKUP($N707,'2 CODIFICATION'!$G$5:$L$71,4,FALSE)</f>
        <v>chges</v>
      </c>
      <c r="S707" s="271">
        <f>VLOOKUP($N707,'2 CODIFICATION'!$G$5:$L$71,5,FALSE)</f>
        <v>61</v>
      </c>
      <c r="T707" s="270" t="str">
        <f>VLOOKUP($N707,'2 CODIFICATION'!$G$5:$L$71,6,FALSE)</f>
        <v>Services extérieurs</v>
      </c>
    </row>
    <row r="708" spans="1:20" ht="21.5" hidden="1">
      <c r="A708" s="201" t="s">
        <v>170</v>
      </c>
      <c r="B708" s="508" t="s">
        <v>79</v>
      </c>
      <c r="D708" s="899">
        <v>45390</v>
      </c>
      <c r="E708" s="845" t="s">
        <v>855</v>
      </c>
      <c r="F708" s="1275"/>
      <c r="G708" s="901"/>
      <c r="H708" s="901">
        <v>30</v>
      </c>
      <c r="I708" s="477">
        <f t="shared" si="75"/>
        <v>5347.2800000000043</v>
      </c>
      <c r="J708" s="466" t="s">
        <v>273</v>
      </c>
      <c r="K708" s="20">
        <f t="shared" si="76"/>
        <v>6230</v>
      </c>
      <c r="L708" s="74" t="str">
        <f>VLOOKUP($J708,'2 CODIFICATION'!A$5:B$21,2,"FAUX")</f>
        <v>ADMINIST ET FONCT</v>
      </c>
      <c r="M708" s="74" t="str">
        <f>VLOOKUP($K708,'2 CODIFICATION'!D$8:E$64,2,"FAUX")</f>
        <v>communication</v>
      </c>
      <c r="N708" s="74">
        <v>623000</v>
      </c>
      <c r="O708" s="206">
        <f t="shared" si="77"/>
        <v>-30</v>
      </c>
      <c r="P708" s="74">
        <f t="shared" si="78"/>
        <v>2024</v>
      </c>
      <c r="Q708" s="270" t="str">
        <f>VLOOKUP($N708,'2 CODIFICATION'!$G$5:$L$71,3,FALSE)</f>
        <v>Publicité, publications, Création de site web</v>
      </c>
      <c r="R708" s="271" t="str">
        <f>VLOOKUP($N708,'2 CODIFICATION'!$G$5:$L$71,4,FALSE)</f>
        <v>chges</v>
      </c>
      <c r="S708" s="271">
        <f>VLOOKUP($N708,'2 CODIFICATION'!$G$5:$L$71,5,FALSE)</f>
        <v>62</v>
      </c>
      <c r="T708" s="270" t="str">
        <f>VLOOKUP($N708,'2 CODIFICATION'!$G$5:$L$71,6,FALSE)</f>
        <v>Autres services extérieurs</v>
      </c>
    </row>
    <row r="709" spans="1:20" ht="21.5" hidden="1">
      <c r="A709" s="201" t="s">
        <v>170</v>
      </c>
      <c r="B709" s="508" t="s">
        <v>79</v>
      </c>
      <c r="D709" s="899">
        <v>45392</v>
      </c>
      <c r="E709" s="900" t="s">
        <v>631</v>
      </c>
      <c r="F709" s="1275"/>
      <c r="G709" s="901"/>
      <c r="H709" s="901">
        <v>20.25</v>
      </c>
      <c r="I709" s="477">
        <f t="shared" si="75"/>
        <v>5327.0300000000043</v>
      </c>
      <c r="J709" s="466" t="s">
        <v>527</v>
      </c>
      <c r="K709" s="20">
        <f t="shared" ref="K709:K740" si="79">N709/100</f>
        <v>6261</v>
      </c>
      <c r="L709" s="74" t="str">
        <f>VLOOKUP($J709,'2 CODIFICATION'!A$5:B$21,2,"FAUX")</f>
        <v>TOILETTES ECOSAN</v>
      </c>
      <c r="M709" s="74" t="str">
        <f>VLOOKUP($K709,'2 CODIFICATION'!D$8:E$64,2,"FAUX")</f>
        <v>Frais d'envoi</v>
      </c>
      <c r="N709" s="74">
        <v>626100</v>
      </c>
      <c r="O709" s="206">
        <f t="shared" ref="O709:O740" si="80">G709-H709</f>
        <v>-20.25</v>
      </c>
      <c r="P709" s="74">
        <f t="shared" ref="P709:P740" si="81">YEAR(D709)</f>
        <v>2024</v>
      </c>
      <c r="Q709" s="270" t="str">
        <f>VLOOKUP($N709,'2 CODIFICATION'!$G$5:$L$71,3,FALSE)</f>
        <v>Frais postaux</v>
      </c>
      <c r="R709" s="271" t="str">
        <f>VLOOKUP($N709,'2 CODIFICATION'!$G$5:$L$71,4,FALSE)</f>
        <v>chges</v>
      </c>
      <c r="S709" s="271">
        <f>VLOOKUP($N709,'2 CODIFICATION'!$G$5:$L$71,5,FALSE)</f>
        <v>62</v>
      </c>
      <c r="T709" s="270" t="str">
        <f>VLOOKUP($N709,'2 CODIFICATION'!$G$5:$L$71,6,FALSE)</f>
        <v>Autres services extérieurs</v>
      </c>
    </row>
    <row r="710" spans="1:20" s="78" customFormat="1" ht="15" hidden="1" customHeight="1">
      <c r="A710" s="78" t="s">
        <v>875</v>
      </c>
      <c r="B710" s="78" t="s">
        <v>79</v>
      </c>
      <c r="C710" s="79"/>
      <c r="D710" s="80">
        <v>45292</v>
      </c>
      <c r="E710" s="79" t="s">
        <v>162</v>
      </c>
      <c r="F710" s="147"/>
      <c r="G710" s="518">
        <v>15</v>
      </c>
      <c r="H710" s="518"/>
      <c r="I710" s="519">
        <v>15</v>
      </c>
      <c r="J710" s="524" t="s">
        <v>273</v>
      </c>
      <c r="K710" s="84">
        <f t="shared" si="79"/>
        <v>5120</v>
      </c>
      <c r="L710" s="84" t="str">
        <f>VLOOKUP($J710,'2 CODIFICATION'!A$5:B$21,2,"FAUX")</f>
        <v>ADMINIST ET FONCT</v>
      </c>
      <c r="M710" s="84" t="str">
        <f>VLOOKUP($K710,'2 CODIFICATION'!D$8:E$64,2,"FAUX")</f>
        <v>Banque</v>
      </c>
      <c r="N710" s="84">
        <v>512000</v>
      </c>
      <c r="O710" s="206">
        <f t="shared" si="80"/>
        <v>15</v>
      </c>
      <c r="P710" s="74">
        <f t="shared" si="81"/>
        <v>2024</v>
      </c>
      <c r="Q710" s="270" t="str">
        <f>VLOOKUP($N710,'2 CODIFICATION'!$G$5:$L$71,3,FALSE)</f>
        <v>Banque</v>
      </c>
      <c r="R710" s="271" t="str">
        <f>VLOOKUP($N710,'2 CODIFICATION'!$G$5:$L$71,4,FALSE)</f>
        <v>bilan</v>
      </c>
      <c r="S710" s="271">
        <f>VLOOKUP($N710,'2 CODIFICATION'!$G$5:$L$71,5,FALSE)</f>
        <v>50</v>
      </c>
      <c r="T710" s="270" t="str">
        <f>VLOOKUP($N710,'2 CODIFICATION'!$G$5:$L$71,6,FALSE)</f>
        <v>Trésorerie</v>
      </c>
    </row>
    <row r="711" spans="1:20" s="78" customFormat="1" ht="15" hidden="1" customHeight="1">
      <c r="A711" s="78" t="s">
        <v>875</v>
      </c>
      <c r="B711" s="78" t="s">
        <v>79</v>
      </c>
      <c r="C711" s="79"/>
      <c r="D711" s="80">
        <v>45292</v>
      </c>
      <c r="E711" s="79" t="s">
        <v>162</v>
      </c>
      <c r="F711" s="147"/>
      <c r="G711" s="518">
        <v>4374.6440000000002</v>
      </c>
      <c r="H711" s="518"/>
      <c r="I711" s="471">
        <f t="shared" ref="I711:I748" si="82">+G711-H711+I710</f>
        <v>4389.6440000000002</v>
      </c>
      <c r="J711" s="524" t="s">
        <v>273</v>
      </c>
      <c r="K711" s="84">
        <f t="shared" si="79"/>
        <v>5120</v>
      </c>
      <c r="L711" s="84" t="str">
        <f>VLOOKUP($J711,'2 CODIFICATION'!A$5:B$21,2,"FAUX")</f>
        <v>ADMINIST ET FONCT</v>
      </c>
      <c r="M711" s="84" t="str">
        <f>VLOOKUP($K711,'2 CODIFICATION'!D$8:E$64,2,"FAUX")</f>
        <v>Banque</v>
      </c>
      <c r="N711" s="84">
        <v>512000</v>
      </c>
      <c r="O711" s="206">
        <f t="shared" si="80"/>
        <v>4374.6440000000002</v>
      </c>
      <c r="P711" s="74">
        <f t="shared" si="81"/>
        <v>2024</v>
      </c>
      <c r="Q711" s="270" t="str">
        <f>VLOOKUP($N711,'2 CODIFICATION'!$G$5:$L$71,3,FALSE)</f>
        <v>Banque</v>
      </c>
      <c r="R711" s="271" t="str">
        <f>VLOOKUP($N711,'2 CODIFICATION'!$G$5:$L$71,4,FALSE)</f>
        <v>bilan</v>
      </c>
      <c r="S711" s="271">
        <f>VLOOKUP($N711,'2 CODIFICATION'!$G$5:$L$71,5,FALSE)</f>
        <v>50</v>
      </c>
      <c r="T711" s="270" t="str">
        <f>VLOOKUP($N711,'2 CODIFICATION'!$G$5:$L$71,6,FALSE)</f>
        <v>Trésorerie</v>
      </c>
    </row>
    <row r="712" spans="1:20" s="78" customFormat="1" hidden="1">
      <c r="A712" s="78" t="s">
        <v>875</v>
      </c>
      <c r="B712" s="427" t="s">
        <v>79</v>
      </c>
      <c r="D712" s="1047">
        <v>45296</v>
      </c>
      <c r="E712" s="1048" t="s">
        <v>603</v>
      </c>
      <c r="G712" s="1049"/>
      <c r="H712" s="1049">
        <v>116.1</v>
      </c>
      <c r="I712" s="471">
        <f t="shared" si="82"/>
        <v>4273.5439999999999</v>
      </c>
      <c r="J712" s="1050" t="s">
        <v>273</v>
      </c>
      <c r="K712" s="84">
        <f t="shared" si="79"/>
        <v>6160</v>
      </c>
      <c r="L712" s="84" t="str">
        <f>VLOOKUP($J712,'2 CODIFICATION'!A$5:B$21,2,"FAUX")</f>
        <v>ADMINIST ET FONCT</v>
      </c>
      <c r="M712" s="84" t="str">
        <f>VLOOKUP($K712,'2 CODIFICATION'!D$8:E$64,2,"FAUX")</f>
        <v>Assurance RC</v>
      </c>
      <c r="N712" s="84">
        <v>616000</v>
      </c>
      <c r="O712" s="206">
        <f t="shared" si="80"/>
        <v>-116.1</v>
      </c>
      <c r="P712" s="74">
        <f t="shared" si="81"/>
        <v>2024</v>
      </c>
      <c r="Q712" s="270" t="str">
        <f>VLOOKUP($N712,'2 CODIFICATION'!$G$5:$L$71,3,FALSE)</f>
        <v>Primes d'assurance</v>
      </c>
      <c r="R712" s="271" t="str">
        <f>VLOOKUP($N712,'2 CODIFICATION'!$G$5:$L$71,4,FALSE)</f>
        <v>chges</v>
      </c>
      <c r="S712" s="271">
        <f>VLOOKUP($N712,'2 CODIFICATION'!$G$5:$L$71,5,FALSE)</f>
        <v>61</v>
      </c>
      <c r="T712" s="270" t="str">
        <f>VLOOKUP($N712,'2 CODIFICATION'!$G$5:$L$71,6,FALSE)</f>
        <v>Services extérieurs</v>
      </c>
    </row>
    <row r="713" spans="1:20" s="78" customFormat="1" hidden="1">
      <c r="A713" s="78" t="s">
        <v>875</v>
      </c>
      <c r="B713" s="427" t="s">
        <v>79</v>
      </c>
      <c r="D713" s="1047">
        <v>45331</v>
      </c>
      <c r="E713" s="1048" t="s">
        <v>617</v>
      </c>
      <c r="G713" s="1051">
        <v>2045</v>
      </c>
      <c r="H713" s="1049"/>
      <c r="I713" s="471">
        <f t="shared" si="82"/>
        <v>6318.5439999999999</v>
      </c>
      <c r="J713" s="1050" t="s">
        <v>273</v>
      </c>
      <c r="K713" s="84">
        <f t="shared" si="79"/>
        <v>7771</v>
      </c>
      <c r="L713" s="84" t="str">
        <f>VLOOKUP($J713,'2 CODIFICATION'!A$5:B$21,2,"FAUX")</f>
        <v>ADMINIST ET FONCT</v>
      </c>
      <c r="M713" s="84" t="str">
        <f>VLOOKUP($K713,'2 CODIFICATION'!D$8:E$64,2,"FAUX")</f>
        <v>Dons et participations à l"association</v>
      </c>
      <c r="N713" s="84">
        <v>777100</v>
      </c>
      <c r="O713" s="206">
        <f t="shared" si="80"/>
        <v>2045</v>
      </c>
      <c r="P713" s="74">
        <f t="shared" si="81"/>
        <v>2024</v>
      </c>
      <c r="Q713" s="270" t="str">
        <f>VLOOKUP($N713,'2 CODIFICATION'!$G$5:$L$71,3,FALSE)</f>
        <v>Dons et autres mises à dispositions gratuites</v>
      </c>
      <c r="R713" s="271" t="str">
        <f>VLOOKUP($N713,'2 CODIFICATION'!$G$5:$L$71,4,FALSE)</f>
        <v>pdts</v>
      </c>
      <c r="S713" s="271">
        <f>VLOOKUP($N713,'2 CODIFICATION'!$G$5:$L$71,5,FALSE)</f>
        <v>77</v>
      </c>
      <c r="T713" s="270" t="str">
        <f>VLOOKUP($N713,'2 CODIFICATION'!$G$5:$L$71,6,FALSE)</f>
        <v>Produits exceptionnels</v>
      </c>
    </row>
    <row r="714" spans="1:20" s="78" customFormat="1" hidden="1">
      <c r="A714" s="78" t="s">
        <v>875</v>
      </c>
      <c r="B714" s="427" t="s">
        <v>79</v>
      </c>
      <c r="D714" s="1047">
        <v>45374</v>
      </c>
      <c r="E714" s="1048" t="s">
        <v>600</v>
      </c>
      <c r="G714" s="1049"/>
      <c r="H714" s="1052">
        <v>255.96</v>
      </c>
      <c r="I714" s="471">
        <f t="shared" si="82"/>
        <v>6062.5839999999998</v>
      </c>
      <c r="J714" s="1050" t="s">
        <v>273</v>
      </c>
      <c r="K714" s="84">
        <f t="shared" si="79"/>
        <v>6230</v>
      </c>
      <c r="L714" s="84" t="str">
        <f>VLOOKUP($J714,'2 CODIFICATION'!A$5:B$21,2,"FAUX")</f>
        <v>ADMINIST ET FONCT</v>
      </c>
      <c r="M714" s="84" t="str">
        <f>VLOOKUP($K714,'2 CODIFICATION'!D$8:E$64,2,"FAUX")</f>
        <v>communication</v>
      </c>
      <c r="N714" s="84">
        <v>623000</v>
      </c>
      <c r="O714" s="206">
        <f t="shared" si="80"/>
        <v>-255.96</v>
      </c>
      <c r="P714" s="74">
        <f t="shared" si="81"/>
        <v>2024</v>
      </c>
      <c r="Q714" s="270" t="str">
        <f>VLOOKUP($N714,'2 CODIFICATION'!$G$5:$L$71,3,FALSE)</f>
        <v>Publicité, publications, Création de site web</v>
      </c>
      <c r="R714" s="271" t="str">
        <f>VLOOKUP($N714,'2 CODIFICATION'!$G$5:$L$71,4,FALSE)</f>
        <v>chges</v>
      </c>
      <c r="S714" s="271">
        <f>VLOOKUP($N714,'2 CODIFICATION'!$G$5:$L$71,5,FALSE)</f>
        <v>62</v>
      </c>
      <c r="T714" s="270" t="str">
        <f>VLOOKUP($N714,'2 CODIFICATION'!$G$5:$L$71,6,FALSE)</f>
        <v>Autres services extérieurs</v>
      </c>
    </row>
    <row r="715" spans="1:20" s="78" customFormat="1" hidden="1">
      <c r="A715" s="78" t="s">
        <v>875</v>
      </c>
      <c r="B715" s="427" t="s">
        <v>79</v>
      </c>
      <c r="D715" s="1047">
        <v>45385</v>
      </c>
      <c r="E715" s="1053" t="s">
        <v>618</v>
      </c>
      <c r="G715" s="1051">
        <v>350</v>
      </c>
      <c r="H715" s="1049"/>
      <c r="I715" s="471">
        <f t="shared" si="82"/>
        <v>6412.5839999999998</v>
      </c>
      <c r="J715" s="1050" t="s">
        <v>273</v>
      </c>
      <c r="K715" s="84">
        <f t="shared" si="79"/>
        <v>7581</v>
      </c>
      <c r="L715" s="84" t="str">
        <f>VLOOKUP($J715,'2 CODIFICATION'!A$5:B$21,2,"FAUX")</f>
        <v>ADMINIST ET FONCT</v>
      </c>
      <c r="M715" s="84" t="str">
        <f>VLOOKUP($K715,'2 CODIFICATION'!D$8:E$64,2,"FAUX")</f>
        <v>Adhésions association</v>
      </c>
      <c r="N715" s="84">
        <v>758100</v>
      </c>
      <c r="O715" s="206">
        <f t="shared" si="80"/>
        <v>350</v>
      </c>
      <c r="P715" s="74">
        <f t="shared" si="81"/>
        <v>2024</v>
      </c>
      <c r="Q715" s="270" t="str">
        <f>VLOOKUP($N715,'2 CODIFICATION'!$G$5:$L$71,3,FALSE)</f>
        <v>Cotisations individuelles et associatives</v>
      </c>
      <c r="R715" s="271" t="str">
        <f>VLOOKUP($N715,'2 CODIFICATION'!$G$5:$L$71,4,FALSE)</f>
        <v>pdts</v>
      </c>
      <c r="S715" s="271">
        <f>VLOOKUP($N715,'2 CODIFICATION'!$G$5:$L$71,5,FALSE)</f>
        <v>75</v>
      </c>
      <c r="T715" s="270" t="str">
        <f>VLOOKUP($N715,'2 CODIFICATION'!$G$5:$L$71,6,FALSE)</f>
        <v>Autres produits de gestion courante</v>
      </c>
    </row>
    <row r="716" spans="1:20" s="78" customFormat="1" hidden="1">
      <c r="A716" s="78" t="s">
        <v>875</v>
      </c>
      <c r="B716" s="427" t="s">
        <v>79</v>
      </c>
      <c r="D716" s="1047">
        <v>45385</v>
      </c>
      <c r="E716" s="1053" t="s">
        <v>619</v>
      </c>
      <c r="G716" s="1052">
        <v>50</v>
      </c>
      <c r="H716" s="1049"/>
      <c r="I716" s="471">
        <f t="shared" si="82"/>
        <v>6462.5839999999998</v>
      </c>
      <c r="J716" s="1050" t="s">
        <v>273</v>
      </c>
      <c r="K716" s="84">
        <f t="shared" si="79"/>
        <v>7581</v>
      </c>
      <c r="L716" s="84" t="str">
        <f>VLOOKUP($J716,'2 CODIFICATION'!A$5:B$21,2,"FAUX")</f>
        <v>ADMINIST ET FONCT</v>
      </c>
      <c r="M716" s="84" t="str">
        <f>VLOOKUP($K716,'2 CODIFICATION'!D$8:E$64,2,"FAUX")</f>
        <v>Adhésions association</v>
      </c>
      <c r="N716" s="84">
        <v>758100</v>
      </c>
      <c r="O716" s="206">
        <f t="shared" si="80"/>
        <v>50</v>
      </c>
      <c r="P716" s="74">
        <f t="shared" si="81"/>
        <v>2024</v>
      </c>
      <c r="Q716" s="270" t="str">
        <f>VLOOKUP($N716,'2 CODIFICATION'!$G$5:$L$71,3,FALSE)</f>
        <v>Cotisations individuelles et associatives</v>
      </c>
      <c r="R716" s="271" t="str">
        <f>VLOOKUP($N716,'2 CODIFICATION'!$G$5:$L$71,4,FALSE)</f>
        <v>pdts</v>
      </c>
      <c r="S716" s="271">
        <f>VLOOKUP($N716,'2 CODIFICATION'!$G$5:$L$71,5,FALSE)</f>
        <v>75</v>
      </c>
      <c r="T716" s="270" t="str">
        <f>VLOOKUP($N716,'2 CODIFICATION'!$G$5:$L$71,6,FALSE)</f>
        <v>Autres produits de gestion courante</v>
      </c>
    </row>
    <row r="717" spans="1:20" s="78" customFormat="1" hidden="1">
      <c r="A717" s="78" t="s">
        <v>875</v>
      </c>
      <c r="B717" s="427" t="s">
        <v>79</v>
      </c>
      <c r="D717" s="1047">
        <v>45395</v>
      </c>
      <c r="E717" s="1048" t="s">
        <v>609</v>
      </c>
      <c r="G717" s="1052">
        <v>50</v>
      </c>
      <c r="H717" s="1049"/>
      <c r="I717" s="471">
        <f t="shared" si="82"/>
        <v>6512.5839999999998</v>
      </c>
      <c r="J717" s="1050" t="s">
        <v>273</v>
      </c>
      <c r="K717" s="84">
        <f t="shared" si="79"/>
        <v>7771</v>
      </c>
      <c r="L717" s="84" t="str">
        <f>VLOOKUP($J717,'2 CODIFICATION'!A$5:B$21,2,"FAUX")</f>
        <v>ADMINIST ET FONCT</v>
      </c>
      <c r="M717" s="84" t="str">
        <f>VLOOKUP($K717,'2 CODIFICATION'!D$8:E$64,2,"FAUX")</f>
        <v>Dons et participations à l"association</v>
      </c>
      <c r="N717" s="84">
        <v>777100</v>
      </c>
      <c r="O717" s="206">
        <f t="shared" si="80"/>
        <v>50</v>
      </c>
      <c r="P717" s="74">
        <f t="shared" si="81"/>
        <v>2024</v>
      </c>
      <c r="Q717" s="270" t="str">
        <f>VLOOKUP($N717,'2 CODIFICATION'!$G$5:$L$71,3,FALSE)</f>
        <v>Dons et autres mises à dispositions gratuites</v>
      </c>
      <c r="R717" s="271" t="str">
        <f>VLOOKUP($N717,'2 CODIFICATION'!$G$5:$L$71,4,FALSE)</f>
        <v>pdts</v>
      </c>
      <c r="S717" s="271">
        <f>VLOOKUP($N717,'2 CODIFICATION'!$G$5:$L$71,5,FALSE)</f>
        <v>77</v>
      </c>
      <c r="T717" s="270" t="str">
        <f>VLOOKUP($N717,'2 CODIFICATION'!$G$5:$L$71,6,FALSE)</f>
        <v>Produits exceptionnels</v>
      </c>
    </row>
    <row r="718" spans="1:20" s="78" customFormat="1" hidden="1">
      <c r="A718" s="78" t="s">
        <v>875</v>
      </c>
      <c r="B718" s="427" t="s">
        <v>79</v>
      </c>
      <c r="D718" s="1047">
        <v>45401</v>
      </c>
      <c r="E718" s="1048" t="s">
        <v>610</v>
      </c>
      <c r="G718" s="1052">
        <v>300</v>
      </c>
      <c r="H718" s="1049"/>
      <c r="I718" s="471">
        <f t="shared" si="82"/>
        <v>6812.5839999999998</v>
      </c>
      <c r="J718" s="1050" t="s">
        <v>273</v>
      </c>
      <c r="K718" s="84">
        <f t="shared" si="79"/>
        <v>7581</v>
      </c>
      <c r="L718" s="84" t="str">
        <f>VLOOKUP($J718,'2 CODIFICATION'!A$5:B$21,2,"FAUX")</f>
        <v>ADMINIST ET FONCT</v>
      </c>
      <c r="M718" s="84" t="str">
        <f>VLOOKUP($K718,'2 CODIFICATION'!D$8:E$64,2,"FAUX")</f>
        <v>Adhésions association</v>
      </c>
      <c r="N718" s="84">
        <v>758100</v>
      </c>
      <c r="O718" s="206">
        <f t="shared" si="80"/>
        <v>300</v>
      </c>
      <c r="P718" s="74">
        <f t="shared" si="81"/>
        <v>2024</v>
      </c>
      <c r="Q718" s="270" t="str">
        <f>VLOOKUP($N718,'2 CODIFICATION'!$G$5:$L$71,3,FALSE)</f>
        <v>Cotisations individuelles et associatives</v>
      </c>
      <c r="R718" s="271" t="str">
        <f>VLOOKUP($N718,'2 CODIFICATION'!$G$5:$L$71,4,FALSE)</f>
        <v>pdts</v>
      </c>
      <c r="S718" s="271">
        <f>VLOOKUP($N718,'2 CODIFICATION'!$G$5:$L$71,5,FALSE)</f>
        <v>75</v>
      </c>
      <c r="T718" s="270" t="str">
        <f>VLOOKUP($N718,'2 CODIFICATION'!$G$5:$L$71,6,FALSE)</f>
        <v>Autres produits de gestion courante</v>
      </c>
    </row>
    <row r="719" spans="1:20" s="78" customFormat="1" hidden="1">
      <c r="A719" s="78" t="s">
        <v>875</v>
      </c>
      <c r="B719" s="427" t="s">
        <v>79</v>
      </c>
      <c r="D719" s="1047">
        <v>45421</v>
      </c>
      <c r="E719" s="1048" t="s">
        <v>604</v>
      </c>
      <c r="G719" s="1049"/>
      <c r="H719" s="1049">
        <v>63.99</v>
      </c>
      <c r="I719" s="471">
        <f t="shared" si="82"/>
        <v>6748.5940000000001</v>
      </c>
      <c r="J719" s="1050" t="s">
        <v>273</v>
      </c>
      <c r="K719" s="84">
        <f t="shared" si="79"/>
        <v>6230</v>
      </c>
      <c r="L719" s="84" t="str">
        <f>VLOOKUP($J719,'2 CODIFICATION'!A$5:B$21,2,"FAUX")</f>
        <v>ADMINIST ET FONCT</v>
      </c>
      <c r="M719" s="84" t="str">
        <f>VLOOKUP($K719,'2 CODIFICATION'!D$8:E$64,2,"FAUX")</f>
        <v>communication</v>
      </c>
      <c r="N719" s="84">
        <v>623000</v>
      </c>
      <c r="O719" s="206">
        <f t="shared" si="80"/>
        <v>-63.99</v>
      </c>
      <c r="P719" s="74">
        <f t="shared" si="81"/>
        <v>2024</v>
      </c>
      <c r="Q719" s="270" t="str">
        <f>VLOOKUP($N719,'2 CODIFICATION'!$G$5:$L$71,3,FALSE)</f>
        <v>Publicité, publications, Création de site web</v>
      </c>
      <c r="R719" s="271" t="str">
        <f>VLOOKUP($N719,'2 CODIFICATION'!$G$5:$L$71,4,FALSE)</f>
        <v>chges</v>
      </c>
      <c r="S719" s="271">
        <f>VLOOKUP($N719,'2 CODIFICATION'!$G$5:$L$71,5,FALSE)</f>
        <v>62</v>
      </c>
      <c r="T719" s="270" t="str">
        <f>VLOOKUP($N719,'2 CODIFICATION'!$G$5:$L$71,6,FALSE)</f>
        <v>Autres services extérieurs</v>
      </c>
    </row>
    <row r="720" spans="1:20" s="78" customFormat="1" hidden="1">
      <c r="A720" s="78" t="s">
        <v>875</v>
      </c>
      <c r="B720" s="427" t="s">
        <v>79</v>
      </c>
      <c r="D720" s="1047">
        <v>45428</v>
      </c>
      <c r="E720" s="1048" t="s">
        <v>602</v>
      </c>
      <c r="G720" s="1049"/>
      <c r="H720" s="1049">
        <v>50</v>
      </c>
      <c r="I720" s="471">
        <f t="shared" si="82"/>
        <v>6698.5940000000001</v>
      </c>
      <c r="J720" s="1050" t="s">
        <v>273</v>
      </c>
      <c r="K720" s="84">
        <f t="shared" si="79"/>
        <v>6281</v>
      </c>
      <c r="L720" s="84" t="str">
        <f>VLOOKUP($J720,'2 CODIFICATION'!A$5:B$21,2,"FAUX")</f>
        <v>ADMINIST ET FONCT</v>
      </c>
      <c r="M720" s="84" t="str">
        <f>VLOOKUP($K720,'2 CODIFICATION'!D$8:E$64,2,"FAUX")</f>
        <v>adhésion Hellasso+ autres</v>
      </c>
      <c r="N720" s="84">
        <v>628100</v>
      </c>
      <c r="O720" s="206">
        <f t="shared" si="80"/>
        <v>-50</v>
      </c>
      <c r="P720" s="74">
        <f t="shared" si="81"/>
        <v>2024</v>
      </c>
      <c r="Q720" s="270" t="str">
        <f>VLOOKUP($N720,'2 CODIFICATION'!$G$5:$L$71,3,FALSE)</f>
        <v>adhesion Hellasso</v>
      </c>
      <c r="R720" s="271" t="str">
        <f>VLOOKUP($N720,'2 CODIFICATION'!$G$5:$L$71,4,FALSE)</f>
        <v>chges</v>
      </c>
      <c r="S720" s="271">
        <f>VLOOKUP($N720,'2 CODIFICATION'!$G$5:$L$71,5,FALSE)</f>
        <v>62</v>
      </c>
      <c r="T720" s="270" t="str">
        <f>VLOOKUP($N720,'2 CODIFICATION'!$G$5:$L$71,6,FALSE)</f>
        <v>Autres services extérieurs</v>
      </c>
    </row>
    <row r="721" spans="1:20" s="78" customFormat="1" hidden="1">
      <c r="A721" s="78" t="s">
        <v>875</v>
      </c>
      <c r="B721" s="427" t="s">
        <v>79</v>
      </c>
      <c r="D721" s="1047">
        <v>45428</v>
      </c>
      <c r="E721" s="1048" t="s">
        <v>730</v>
      </c>
      <c r="G721" s="1049">
        <v>0.34</v>
      </c>
      <c r="H721" s="1049"/>
      <c r="I721" s="471">
        <f t="shared" si="82"/>
        <v>6698.9340000000002</v>
      </c>
      <c r="J721" s="1050" t="s">
        <v>273</v>
      </c>
      <c r="K721" s="84">
        <f t="shared" si="79"/>
        <v>7660</v>
      </c>
      <c r="L721" s="84" t="str">
        <f>VLOOKUP($J721,'2 CODIFICATION'!A$5:B$21,2,"FAUX")</f>
        <v>ADMINIST ET FONCT</v>
      </c>
      <c r="M721" s="84" t="str">
        <f>VLOOKUP($K721,'2 CODIFICATION'!D$8:E$64,2,"FAUX")</f>
        <v>Produits financiers</v>
      </c>
      <c r="N721" s="84">
        <v>766000</v>
      </c>
      <c r="O721" s="206">
        <f t="shared" si="80"/>
        <v>0.34</v>
      </c>
      <c r="P721" s="74">
        <f t="shared" si="81"/>
        <v>2024</v>
      </c>
      <c r="Q721" s="270" t="str">
        <f>VLOOKUP($N721,'2 CODIFICATION'!$G$5:$L$71,3,FALSE)</f>
        <v>Produits financiers</v>
      </c>
      <c r="R721" s="271" t="str">
        <f>VLOOKUP($N721,'2 CODIFICATION'!$G$5:$L$71,4,FALSE)</f>
        <v>pdts</v>
      </c>
      <c r="S721" s="271">
        <f>VLOOKUP($N721,'2 CODIFICATION'!$G$5:$L$71,5,FALSE)</f>
        <v>76</v>
      </c>
      <c r="T721" s="270" t="str">
        <f>VLOOKUP($N721,'2 CODIFICATION'!$G$5:$L$71,6,FALSE)</f>
        <v>Produits exceptionnels</v>
      </c>
    </row>
    <row r="722" spans="1:20" s="78" customFormat="1" hidden="1">
      <c r="A722" s="78" t="s">
        <v>875</v>
      </c>
      <c r="B722" s="427" t="s">
        <v>79</v>
      </c>
      <c r="D722" s="1047">
        <v>45443</v>
      </c>
      <c r="E722" s="1048" t="s">
        <v>606</v>
      </c>
      <c r="G722" s="1049"/>
      <c r="H722" s="1049">
        <v>65.989999999999995</v>
      </c>
      <c r="I722" s="471">
        <f t="shared" si="82"/>
        <v>6632.9440000000004</v>
      </c>
      <c r="J722" s="1050" t="s">
        <v>273</v>
      </c>
      <c r="K722" s="84">
        <f t="shared" si="79"/>
        <v>6230</v>
      </c>
      <c r="L722" s="84" t="str">
        <f>VLOOKUP($J722,'2 CODIFICATION'!A$5:B$21,2,"FAUX")</f>
        <v>ADMINIST ET FONCT</v>
      </c>
      <c r="M722" s="84" t="str">
        <f>VLOOKUP($K722,'2 CODIFICATION'!D$8:E$64,2,"FAUX")</f>
        <v>communication</v>
      </c>
      <c r="N722" s="84">
        <v>623000</v>
      </c>
      <c r="O722" s="206">
        <f t="shared" si="80"/>
        <v>-65.989999999999995</v>
      </c>
      <c r="P722" s="74">
        <f t="shared" si="81"/>
        <v>2024</v>
      </c>
      <c r="Q722" s="270" t="str">
        <f>VLOOKUP($N722,'2 CODIFICATION'!$G$5:$L$71,3,FALSE)</f>
        <v>Publicité, publications, Création de site web</v>
      </c>
      <c r="R722" s="271" t="str">
        <f>VLOOKUP($N722,'2 CODIFICATION'!$G$5:$L$71,4,FALSE)</f>
        <v>chges</v>
      </c>
      <c r="S722" s="271">
        <f>VLOOKUP($N722,'2 CODIFICATION'!$G$5:$L$71,5,FALSE)</f>
        <v>62</v>
      </c>
      <c r="T722" s="270" t="str">
        <f>VLOOKUP($N722,'2 CODIFICATION'!$G$5:$L$71,6,FALSE)</f>
        <v>Autres services extérieurs</v>
      </c>
    </row>
    <row r="723" spans="1:20" s="78" customFormat="1" hidden="1">
      <c r="A723" s="78" t="s">
        <v>875</v>
      </c>
      <c r="B723" s="427" t="s">
        <v>79</v>
      </c>
      <c r="D723" s="1047">
        <v>45448</v>
      </c>
      <c r="E723" s="1048" t="s">
        <v>605</v>
      </c>
      <c r="G723" s="1049"/>
      <c r="H723" s="1049">
        <v>73.09</v>
      </c>
      <c r="I723" s="471">
        <f t="shared" si="82"/>
        <v>6559.8540000000003</v>
      </c>
      <c r="J723" s="1050" t="s">
        <v>273</v>
      </c>
      <c r="K723" s="84">
        <f t="shared" si="79"/>
        <v>6064</v>
      </c>
      <c r="L723" s="84" t="str">
        <f>VLOOKUP($J723,'2 CODIFICATION'!A$5:B$21,2,"FAUX")</f>
        <v>ADMINIST ET FONCT</v>
      </c>
      <c r="M723" s="84" t="str">
        <f>VLOOKUP($K723,'2 CODIFICATION'!D$8:E$64,2,"FAUX")</f>
        <v>Frais de fonctionnement et fourniture</v>
      </c>
      <c r="N723" s="84">
        <v>606400</v>
      </c>
      <c r="O723" s="206">
        <f t="shared" si="80"/>
        <v>-73.09</v>
      </c>
      <c r="P723" s="74">
        <f t="shared" si="81"/>
        <v>2024</v>
      </c>
      <c r="Q723" s="270" t="str">
        <f>VLOOKUP($N723,'2 CODIFICATION'!$G$5:$L$71,3,FALSE)</f>
        <v>Fournitures administratives</v>
      </c>
      <c r="R723" s="271" t="str">
        <f>VLOOKUP($N723,'2 CODIFICATION'!$G$5:$L$71,4,FALSE)</f>
        <v>chges</v>
      </c>
      <c r="S723" s="271">
        <f>VLOOKUP($N723,'2 CODIFICATION'!$G$5:$L$71,5,FALSE)</f>
        <v>60</v>
      </c>
      <c r="T723" s="270" t="str">
        <f>VLOOKUP($N723,'2 CODIFICATION'!$G$5:$L$71,6,FALSE)</f>
        <v>Achat</v>
      </c>
    </row>
    <row r="724" spans="1:20" s="78" customFormat="1" hidden="1">
      <c r="A724" s="78" t="s">
        <v>875</v>
      </c>
      <c r="B724" s="427" t="s">
        <v>79</v>
      </c>
      <c r="D724" s="1047">
        <v>45456</v>
      </c>
      <c r="E724" s="1048" t="s">
        <v>615</v>
      </c>
      <c r="G724" s="1052">
        <v>100</v>
      </c>
      <c r="H724" s="1049"/>
      <c r="I724" s="471">
        <f t="shared" si="82"/>
        <v>6659.8540000000003</v>
      </c>
      <c r="J724" s="1050" t="s">
        <v>273</v>
      </c>
      <c r="K724" s="84">
        <f t="shared" si="79"/>
        <v>7581</v>
      </c>
      <c r="L724" s="84" t="str">
        <f>VLOOKUP($J724,'2 CODIFICATION'!A$5:B$21,2,"FAUX")</f>
        <v>ADMINIST ET FONCT</v>
      </c>
      <c r="M724" s="84" t="str">
        <f>VLOOKUP($K724,'2 CODIFICATION'!D$8:E$64,2,"FAUX")</f>
        <v>Adhésions association</v>
      </c>
      <c r="N724" s="84">
        <v>758100</v>
      </c>
      <c r="O724" s="206">
        <f t="shared" si="80"/>
        <v>100</v>
      </c>
      <c r="P724" s="74">
        <f t="shared" si="81"/>
        <v>2024</v>
      </c>
      <c r="Q724" s="270" t="str">
        <f>VLOOKUP($N724,'2 CODIFICATION'!$G$5:$L$71,3,FALSE)</f>
        <v>Cotisations individuelles et associatives</v>
      </c>
      <c r="R724" s="271" t="str">
        <f>VLOOKUP($N724,'2 CODIFICATION'!$G$5:$L$71,4,FALSE)</f>
        <v>pdts</v>
      </c>
      <c r="S724" s="271">
        <f>VLOOKUP($N724,'2 CODIFICATION'!$G$5:$L$71,5,FALSE)</f>
        <v>75</v>
      </c>
      <c r="T724" s="270" t="str">
        <f>VLOOKUP($N724,'2 CODIFICATION'!$G$5:$L$71,6,FALSE)</f>
        <v>Autres produits de gestion courante</v>
      </c>
    </row>
    <row r="725" spans="1:20" s="78" customFormat="1" hidden="1">
      <c r="A725" s="78" t="s">
        <v>875</v>
      </c>
      <c r="B725" s="427" t="s">
        <v>79</v>
      </c>
      <c r="D725" s="1047">
        <v>45459</v>
      </c>
      <c r="E725" s="1053" t="s">
        <v>620</v>
      </c>
      <c r="G725" s="1052">
        <v>30</v>
      </c>
      <c r="H725" s="1049"/>
      <c r="I725" s="471">
        <f t="shared" si="82"/>
        <v>6689.8540000000003</v>
      </c>
      <c r="J725" s="1050" t="s">
        <v>273</v>
      </c>
      <c r="K725" s="84">
        <f t="shared" si="79"/>
        <v>7581</v>
      </c>
      <c r="L725" s="84" t="str">
        <f>VLOOKUP($J725,'2 CODIFICATION'!A$5:B$21,2,"FAUX")</f>
        <v>ADMINIST ET FONCT</v>
      </c>
      <c r="M725" s="84" t="str">
        <f>VLOOKUP($K725,'2 CODIFICATION'!D$8:E$64,2,"FAUX")</f>
        <v>Adhésions association</v>
      </c>
      <c r="N725" s="84">
        <v>758100</v>
      </c>
      <c r="O725" s="206">
        <f t="shared" si="80"/>
        <v>30</v>
      </c>
      <c r="P725" s="74">
        <f t="shared" si="81"/>
        <v>2024</v>
      </c>
      <c r="Q725" s="270" t="str">
        <f>VLOOKUP($N725,'2 CODIFICATION'!$G$5:$L$71,3,FALSE)</f>
        <v>Cotisations individuelles et associatives</v>
      </c>
      <c r="R725" s="271" t="str">
        <f>VLOOKUP($N725,'2 CODIFICATION'!$G$5:$L$71,4,FALSE)</f>
        <v>pdts</v>
      </c>
      <c r="S725" s="271">
        <f>VLOOKUP($N725,'2 CODIFICATION'!$G$5:$L$71,5,FALSE)</f>
        <v>75</v>
      </c>
      <c r="T725" s="270" t="str">
        <f>VLOOKUP($N725,'2 CODIFICATION'!$G$5:$L$71,6,FALSE)</f>
        <v>Autres produits de gestion courante</v>
      </c>
    </row>
    <row r="726" spans="1:20" s="78" customFormat="1" hidden="1">
      <c r="A726" s="78" t="s">
        <v>875</v>
      </c>
      <c r="B726" s="427" t="s">
        <v>79</v>
      </c>
      <c r="D726" s="1047">
        <v>45459</v>
      </c>
      <c r="E726" s="1053" t="s">
        <v>621</v>
      </c>
      <c r="G726" s="1052">
        <v>10</v>
      </c>
      <c r="H726" s="1049"/>
      <c r="I726" s="471">
        <f t="shared" si="82"/>
        <v>6699.8540000000003</v>
      </c>
      <c r="J726" s="1050" t="s">
        <v>273</v>
      </c>
      <c r="K726" s="84">
        <f t="shared" si="79"/>
        <v>7581</v>
      </c>
      <c r="L726" s="84" t="str">
        <f>VLOOKUP($J726,'2 CODIFICATION'!A$5:B$21,2,"FAUX")</f>
        <v>ADMINIST ET FONCT</v>
      </c>
      <c r="M726" s="84" t="str">
        <f>VLOOKUP($K726,'2 CODIFICATION'!D$8:E$64,2,"FAUX")</f>
        <v>Adhésions association</v>
      </c>
      <c r="N726" s="84">
        <v>758100</v>
      </c>
      <c r="O726" s="206">
        <f t="shared" si="80"/>
        <v>10</v>
      </c>
      <c r="P726" s="74">
        <f t="shared" si="81"/>
        <v>2024</v>
      </c>
      <c r="Q726" s="270" t="str">
        <f>VLOOKUP($N726,'2 CODIFICATION'!$G$5:$L$71,3,FALSE)</f>
        <v>Cotisations individuelles et associatives</v>
      </c>
      <c r="R726" s="271" t="str">
        <f>VLOOKUP($N726,'2 CODIFICATION'!$G$5:$L$71,4,FALSE)</f>
        <v>pdts</v>
      </c>
      <c r="S726" s="271">
        <f>VLOOKUP($N726,'2 CODIFICATION'!$G$5:$L$71,5,FALSE)</f>
        <v>75</v>
      </c>
      <c r="T726" s="270" t="str">
        <f>VLOOKUP($N726,'2 CODIFICATION'!$G$5:$L$71,6,FALSE)</f>
        <v>Autres produits de gestion courante</v>
      </c>
    </row>
    <row r="727" spans="1:20" s="78" customFormat="1" hidden="1">
      <c r="A727" s="78" t="s">
        <v>875</v>
      </c>
      <c r="B727" s="427" t="s">
        <v>79</v>
      </c>
      <c r="D727" s="1047">
        <v>45476</v>
      </c>
      <c r="E727" s="1048" t="s">
        <v>622</v>
      </c>
      <c r="G727" s="1052">
        <v>20</v>
      </c>
      <c r="H727" s="1049"/>
      <c r="I727" s="471">
        <f t="shared" si="82"/>
        <v>6719.8540000000003</v>
      </c>
      <c r="J727" s="1050" t="s">
        <v>273</v>
      </c>
      <c r="K727" s="84">
        <f t="shared" si="79"/>
        <v>7581</v>
      </c>
      <c r="L727" s="84" t="str">
        <f>VLOOKUP($J727,'2 CODIFICATION'!A$5:B$21,2,"FAUX")</f>
        <v>ADMINIST ET FONCT</v>
      </c>
      <c r="M727" s="84" t="str">
        <f>VLOOKUP($K727,'2 CODIFICATION'!D$8:E$64,2,"FAUX")</f>
        <v>Adhésions association</v>
      </c>
      <c r="N727" s="84">
        <v>758100</v>
      </c>
      <c r="O727" s="206">
        <f t="shared" si="80"/>
        <v>20</v>
      </c>
      <c r="P727" s="74">
        <f t="shared" si="81"/>
        <v>2024</v>
      </c>
      <c r="Q727" s="270" t="str">
        <f>VLOOKUP($N727,'2 CODIFICATION'!$G$5:$L$71,3,FALSE)</f>
        <v>Cotisations individuelles et associatives</v>
      </c>
      <c r="R727" s="271" t="str">
        <f>VLOOKUP($N727,'2 CODIFICATION'!$G$5:$L$71,4,FALSE)</f>
        <v>pdts</v>
      </c>
      <c r="S727" s="271">
        <f>VLOOKUP($N727,'2 CODIFICATION'!$G$5:$L$71,5,FALSE)</f>
        <v>75</v>
      </c>
      <c r="T727" s="270" t="str">
        <f>VLOOKUP($N727,'2 CODIFICATION'!$G$5:$L$71,6,FALSE)</f>
        <v>Autres produits de gestion courante</v>
      </c>
    </row>
    <row r="728" spans="1:20" s="78" customFormat="1" hidden="1">
      <c r="A728" s="78" t="s">
        <v>875</v>
      </c>
      <c r="B728" s="427" t="s">
        <v>79</v>
      </c>
      <c r="D728" s="1047">
        <v>45480</v>
      </c>
      <c r="E728" s="1048" t="s">
        <v>607</v>
      </c>
      <c r="G728" s="1049"/>
      <c r="H728" s="1049">
        <v>13.92</v>
      </c>
      <c r="I728" s="471">
        <f t="shared" si="82"/>
        <v>6705.9340000000002</v>
      </c>
      <c r="J728" s="1050" t="s">
        <v>273</v>
      </c>
      <c r="K728" s="84">
        <f t="shared" si="79"/>
        <v>6261</v>
      </c>
      <c r="L728" s="84" t="str">
        <f>VLOOKUP($J728,'2 CODIFICATION'!A$5:B$21,2,"FAUX")</f>
        <v>ADMINIST ET FONCT</v>
      </c>
      <c r="M728" s="84" t="str">
        <f>VLOOKUP($K728,'2 CODIFICATION'!D$8:E$64,2,"FAUX")</f>
        <v>Frais d'envoi</v>
      </c>
      <c r="N728" s="84">
        <v>626100</v>
      </c>
      <c r="O728" s="206">
        <f t="shared" si="80"/>
        <v>-13.92</v>
      </c>
      <c r="P728" s="74">
        <f t="shared" si="81"/>
        <v>2024</v>
      </c>
      <c r="Q728" s="270" t="str">
        <f>VLOOKUP($N728,'2 CODIFICATION'!$G$5:$L$71,3,FALSE)</f>
        <v>Frais postaux</v>
      </c>
      <c r="R728" s="271" t="str">
        <f>VLOOKUP($N728,'2 CODIFICATION'!$G$5:$L$71,4,FALSE)</f>
        <v>chges</v>
      </c>
      <c r="S728" s="271">
        <f>VLOOKUP($N728,'2 CODIFICATION'!$G$5:$L$71,5,FALSE)</f>
        <v>62</v>
      </c>
      <c r="T728" s="270" t="str">
        <f>VLOOKUP($N728,'2 CODIFICATION'!$G$5:$L$71,6,FALSE)</f>
        <v>Autres services extérieurs</v>
      </c>
    </row>
    <row r="729" spans="1:20" s="78" customFormat="1" hidden="1">
      <c r="A729" s="78" t="s">
        <v>875</v>
      </c>
      <c r="B729" s="427" t="s">
        <v>79</v>
      </c>
      <c r="D729" s="1047">
        <v>45480</v>
      </c>
      <c r="E729" s="1048" t="s">
        <v>608</v>
      </c>
      <c r="G729" s="1049"/>
      <c r="H729" s="1049">
        <v>70.41</v>
      </c>
      <c r="I729" s="471">
        <f t="shared" si="82"/>
        <v>6635.5240000000003</v>
      </c>
      <c r="J729" s="1050" t="s">
        <v>273</v>
      </c>
      <c r="K729" s="84">
        <f t="shared" si="79"/>
        <v>6230</v>
      </c>
      <c r="L729" s="84" t="str">
        <f>VLOOKUP($J729,'2 CODIFICATION'!A$5:B$21,2,"FAUX")</f>
        <v>ADMINIST ET FONCT</v>
      </c>
      <c r="M729" s="84" t="str">
        <f>VLOOKUP($K729,'2 CODIFICATION'!D$8:E$64,2,"FAUX")</f>
        <v>communication</v>
      </c>
      <c r="N729" s="84">
        <v>623000</v>
      </c>
      <c r="O729" s="206">
        <f t="shared" si="80"/>
        <v>-70.41</v>
      </c>
      <c r="P729" s="74">
        <f t="shared" si="81"/>
        <v>2024</v>
      </c>
      <c r="Q729" s="270" t="str">
        <f>VLOOKUP($N729,'2 CODIFICATION'!$G$5:$L$71,3,FALSE)</f>
        <v>Publicité, publications, Création de site web</v>
      </c>
      <c r="R729" s="271" t="str">
        <f>VLOOKUP($N729,'2 CODIFICATION'!$G$5:$L$71,4,FALSE)</f>
        <v>chges</v>
      </c>
      <c r="S729" s="271">
        <f>VLOOKUP($N729,'2 CODIFICATION'!$G$5:$L$71,5,FALSE)</f>
        <v>62</v>
      </c>
      <c r="T729" s="270" t="str">
        <f>VLOOKUP($N729,'2 CODIFICATION'!$G$5:$L$71,6,FALSE)</f>
        <v>Autres services extérieurs</v>
      </c>
    </row>
    <row r="730" spans="1:20" s="78" customFormat="1" hidden="1">
      <c r="A730" s="78" t="s">
        <v>875</v>
      </c>
      <c r="B730" s="427" t="s">
        <v>79</v>
      </c>
      <c r="D730" s="1047">
        <v>45480</v>
      </c>
      <c r="E730" s="1053" t="s">
        <v>613</v>
      </c>
      <c r="G730" s="1052">
        <v>100</v>
      </c>
      <c r="H730" s="1049"/>
      <c r="I730" s="471">
        <f t="shared" si="82"/>
        <v>6735.5240000000003</v>
      </c>
      <c r="J730" s="1050" t="s">
        <v>273</v>
      </c>
      <c r="K730" s="84">
        <f t="shared" si="79"/>
        <v>7581</v>
      </c>
      <c r="L730" s="84" t="str">
        <f>VLOOKUP($J730,'2 CODIFICATION'!A$5:B$21,2,"FAUX")</f>
        <v>ADMINIST ET FONCT</v>
      </c>
      <c r="M730" s="84" t="str">
        <f>VLOOKUP($K730,'2 CODIFICATION'!D$8:E$64,2,"FAUX")</f>
        <v>Adhésions association</v>
      </c>
      <c r="N730" s="84">
        <v>758100</v>
      </c>
      <c r="O730" s="206">
        <f t="shared" si="80"/>
        <v>100</v>
      </c>
      <c r="P730" s="74">
        <f t="shared" si="81"/>
        <v>2024</v>
      </c>
      <c r="Q730" s="270" t="str">
        <f>VLOOKUP($N730,'2 CODIFICATION'!$G$5:$L$71,3,FALSE)</f>
        <v>Cotisations individuelles et associatives</v>
      </c>
      <c r="R730" s="271" t="str">
        <f>VLOOKUP($N730,'2 CODIFICATION'!$G$5:$L$71,4,FALSE)</f>
        <v>pdts</v>
      </c>
      <c r="S730" s="271">
        <f>VLOOKUP($N730,'2 CODIFICATION'!$G$5:$L$71,5,FALSE)</f>
        <v>75</v>
      </c>
      <c r="T730" s="270" t="str">
        <f>VLOOKUP($N730,'2 CODIFICATION'!$G$5:$L$71,6,FALSE)</f>
        <v>Autres produits de gestion courante</v>
      </c>
    </row>
    <row r="731" spans="1:20" s="78" customFormat="1" hidden="1">
      <c r="A731" s="78" t="s">
        <v>875</v>
      </c>
      <c r="B731" s="427" t="s">
        <v>79</v>
      </c>
      <c r="D731" s="1047">
        <v>45480</v>
      </c>
      <c r="E731" s="1053" t="s">
        <v>614</v>
      </c>
      <c r="G731" s="1052">
        <v>1200</v>
      </c>
      <c r="H731" s="1049"/>
      <c r="I731" s="471">
        <f t="shared" si="82"/>
        <v>7935.5240000000003</v>
      </c>
      <c r="J731" s="1050" t="s">
        <v>273</v>
      </c>
      <c r="K731" s="84">
        <f t="shared" si="79"/>
        <v>7771</v>
      </c>
      <c r="L731" s="84" t="str">
        <f>VLOOKUP($J731,'2 CODIFICATION'!A$5:B$21,2,"FAUX")</f>
        <v>ADMINIST ET FONCT</v>
      </c>
      <c r="M731" s="84" t="str">
        <f>VLOOKUP($K731,'2 CODIFICATION'!D$8:E$64,2,"FAUX")</f>
        <v>Dons et participations à l"association</v>
      </c>
      <c r="N731" s="84">
        <v>777100</v>
      </c>
      <c r="O731" s="206">
        <f t="shared" si="80"/>
        <v>1200</v>
      </c>
      <c r="P731" s="74">
        <f t="shared" si="81"/>
        <v>2024</v>
      </c>
      <c r="Q731" s="270" t="str">
        <f>VLOOKUP($N731,'2 CODIFICATION'!$G$5:$L$71,3,FALSE)</f>
        <v>Dons et autres mises à dispositions gratuites</v>
      </c>
      <c r="R731" s="271" t="str">
        <f>VLOOKUP($N731,'2 CODIFICATION'!$G$5:$L$71,4,FALSE)</f>
        <v>pdts</v>
      </c>
      <c r="S731" s="271">
        <f>VLOOKUP($N731,'2 CODIFICATION'!$G$5:$L$71,5,FALSE)</f>
        <v>77</v>
      </c>
      <c r="T731" s="270" t="str">
        <f>VLOOKUP($N731,'2 CODIFICATION'!$G$5:$L$71,6,FALSE)</f>
        <v>Produits exceptionnels</v>
      </c>
    </row>
    <row r="732" spans="1:20" s="78" customFormat="1" hidden="1">
      <c r="A732" s="78" t="s">
        <v>875</v>
      </c>
      <c r="B732" s="427" t="s">
        <v>79</v>
      </c>
      <c r="D732" s="1047">
        <v>45490</v>
      </c>
      <c r="E732" s="1048" t="s">
        <v>594</v>
      </c>
      <c r="G732" s="1049">
        <v>50</v>
      </c>
      <c r="H732" s="1049"/>
      <c r="I732" s="471">
        <f t="shared" si="82"/>
        <v>7985.5240000000003</v>
      </c>
      <c r="J732" s="1050" t="s">
        <v>273</v>
      </c>
      <c r="K732" s="84">
        <f t="shared" si="79"/>
        <v>7581</v>
      </c>
      <c r="L732" s="84" t="str">
        <f>VLOOKUP($J732,'2 CODIFICATION'!A$5:B$21,2,"FAUX")</f>
        <v>ADMINIST ET FONCT</v>
      </c>
      <c r="M732" s="84" t="str">
        <f>VLOOKUP($K732,'2 CODIFICATION'!D$8:E$64,2,"FAUX")</f>
        <v>Adhésions association</v>
      </c>
      <c r="N732" s="84">
        <v>758100</v>
      </c>
      <c r="O732" s="206">
        <f t="shared" si="80"/>
        <v>50</v>
      </c>
      <c r="P732" s="74">
        <f t="shared" si="81"/>
        <v>2024</v>
      </c>
      <c r="Q732" s="270" t="str">
        <f>VLOOKUP($N732,'2 CODIFICATION'!$G$5:$L$71,3,FALSE)</f>
        <v>Cotisations individuelles et associatives</v>
      </c>
      <c r="R732" s="271" t="str">
        <f>VLOOKUP($N732,'2 CODIFICATION'!$G$5:$L$71,4,FALSE)</f>
        <v>pdts</v>
      </c>
      <c r="S732" s="271">
        <f>VLOOKUP($N732,'2 CODIFICATION'!$G$5:$L$71,5,FALSE)</f>
        <v>75</v>
      </c>
      <c r="T732" s="270" t="str">
        <f>VLOOKUP($N732,'2 CODIFICATION'!$G$5:$L$71,6,FALSE)</f>
        <v>Autres produits de gestion courante</v>
      </c>
    </row>
    <row r="733" spans="1:20" s="78" customFormat="1" hidden="1">
      <c r="A733" s="78" t="s">
        <v>875</v>
      </c>
      <c r="B733" s="427" t="s">
        <v>79</v>
      </c>
      <c r="D733" s="1047">
        <v>45505</v>
      </c>
      <c r="E733" s="1048" t="s">
        <v>595</v>
      </c>
      <c r="G733" s="1052">
        <v>30</v>
      </c>
      <c r="H733" s="1049"/>
      <c r="I733" s="471">
        <f t="shared" si="82"/>
        <v>8015.5240000000003</v>
      </c>
      <c r="J733" s="1050" t="s">
        <v>273</v>
      </c>
      <c r="K733" s="84">
        <f t="shared" si="79"/>
        <v>7581</v>
      </c>
      <c r="L733" s="84" t="str">
        <f>VLOOKUP($J733,'2 CODIFICATION'!A$5:B$21,2,"FAUX")</f>
        <v>ADMINIST ET FONCT</v>
      </c>
      <c r="M733" s="84" t="str">
        <f>VLOOKUP($K733,'2 CODIFICATION'!D$8:E$64,2,"FAUX")</f>
        <v>Adhésions association</v>
      </c>
      <c r="N733" s="84">
        <v>758100</v>
      </c>
      <c r="O733" s="206">
        <f t="shared" si="80"/>
        <v>30</v>
      </c>
      <c r="P733" s="74">
        <f t="shared" si="81"/>
        <v>2024</v>
      </c>
      <c r="Q733" s="270" t="str">
        <f>VLOOKUP($N733,'2 CODIFICATION'!$G$5:$L$71,3,FALSE)</f>
        <v>Cotisations individuelles et associatives</v>
      </c>
      <c r="R733" s="271" t="str">
        <f>VLOOKUP($N733,'2 CODIFICATION'!$G$5:$L$71,4,FALSE)</f>
        <v>pdts</v>
      </c>
      <c r="S733" s="271">
        <f>VLOOKUP($N733,'2 CODIFICATION'!$G$5:$L$71,5,FALSE)</f>
        <v>75</v>
      </c>
      <c r="T733" s="270" t="str">
        <f>VLOOKUP($N733,'2 CODIFICATION'!$G$5:$L$71,6,FALSE)</f>
        <v>Autres produits de gestion courante</v>
      </c>
    </row>
    <row r="734" spans="1:20" s="78" customFormat="1" hidden="1">
      <c r="A734" s="78" t="s">
        <v>875</v>
      </c>
      <c r="B734" s="427" t="s">
        <v>79</v>
      </c>
      <c r="D734" s="1047">
        <v>45534</v>
      </c>
      <c r="E734" s="1048" t="s">
        <v>612</v>
      </c>
      <c r="G734" s="1052">
        <v>50</v>
      </c>
      <c r="H734" s="1049"/>
      <c r="I734" s="471">
        <f t="shared" si="82"/>
        <v>8065.5240000000003</v>
      </c>
      <c r="J734" s="1050" t="s">
        <v>273</v>
      </c>
      <c r="K734" s="84">
        <f t="shared" si="79"/>
        <v>7581</v>
      </c>
      <c r="L734" s="84" t="str">
        <f>VLOOKUP($J734,'2 CODIFICATION'!A$5:B$21,2,"FAUX")</f>
        <v>ADMINIST ET FONCT</v>
      </c>
      <c r="M734" s="84" t="str">
        <f>VLOOKUP($K734,'2 CODIFICATION'!D$8:E$64,2,"FAUX")</f>
        <v>Adhésions association</v>
      </c>
      <c r="N734" s="84">
        <v>758100</v>
      </c>
      <c r="O734" s="206">
        <f t="shared" si="80"/>
        <v>50</v>
      </c>
      <c r="P734" s="74">
        <f t="shared" si="81"/>
        <v>2024</v>
      </c>
      <c r="Q734" s="270" t="str">
        <f>VLOOKUP($N734,'2 CODIFICATION'!$G$5:$L$71,3,FALSE)</f>
        <v>Cotisations individuelles et associatives</v>
      </c>
      <c r="R734" s="271" t="str">
        <f>VLOOKUP($N734,'2 CODIFICATION'!$G$5:$L$71,4,FALSE)</f>
        <v>pdts</v>
      </c>
      <c r="S734" s="271">
        <f>VLOOKUP($N734,'2 CODIFICATION'!$G$5:$L$71,5,FALSE)</f>
        <v>75</v>
      </c>
      <c r="T734" s="270" t="str">
        <f>VLOOKUP($N734,'2 CODIFICATION'!$G$5:$L$71,6,FALSE)</f>
        <v>Autres produits de gestion courante</v>
      </c>
    </row>
    <row r="735" spans="1:20" s="78" customFormat="1" hidden="1">
      <c r="A735" s="78" t="s">
        <v>875</v>
      </c>
      <c r="B735" s="427" t="s">
        <v>79</v>
      </c>
      <c r="D735" s="1047">
        <v>45537</v>
      </c>
      <c r="E735" s="1048" t="s">
        <v>611</v>
      </c>
      <c r="G735" s="1052">
        <v>60</v>
      </c>
      <c r="H735" s="1049"/>
      <c r="I735" s="471">
        <f t="shared" si="82"/>
        <v>8125.5240000000003</v>
      </c>
      <c r="J735" s="1050" t="s">
        <v>273</v>
      </c>
      <c r="K735" s="84">
        <f t="shared" si="79"/>
        <v>7581</v>
      </c>
      <c r="L735" s="84" t="str">
        <f>VLOOKUP($J735,'2 CODIFICATION'!A$5:B$21,2,"FAUX")</f>
        <v>ADMINIST ET FONCT</v>
      </c>
      <c r="M735" s="84" t="str">
        <f>VLOOKUP($K735,'2 CODIFICATION'!D$8:E$64,2,"FAUX")</f>
        <v>Adhésions association</v>
      </c>
      <c r="N735" s="84">
        <v>758100</v>
      </c>
      <c r="O735" s="206">
        <f t="shared" si="80"/>
        <v>60</v>
      </c>
      <c r="P735" s="74">
        <f t="shared" si="81"/>
        <v>2024</v>
      </c>
      <c r="Q735" s="270" t="str">
        <f>VLOOKUP($N735,'2 CODIFICATION'!$G$5:$L$71,3,FALSE)</f>
        <v>Cotisations individuelles et associatives</v>
      </c>
      <c r="R735" s="271" t="str">
        <f>VLOOKUP($N735,'2 CODIFICATION'!$G$5:$L$71,4,FALSE)</f>
        <v>pdts</v>
      </c>
      <c r="S735" s="271">
        <f>VLOOKUP($N735,'2 CODIFICATION'!$G$5:$L$71,5,FALSE)</f>
        <v>75</v>
      </c>
      <c r="T735" s="270" t="str">
        <f>VLOOKUP($N735,'2 CODIFICATION'!$G$5:$L$71,6,FALSE)</f>
        <v>Autres produits de gestion courante</v>
      </c>
    </row>
    <row r="736" spans="1:20" s="78" customFormat="1" hidden="1">
      <c r="A736" s="78" t="s">
        <v>875</v>
      </c>
      <c r="B736" s="427" t="s">
        <v>79</v>
      </c>
      <c r="D736" s="1047">
        <v>45542</v>
      </c>
      <c r="E736" s="1048" t="s">
        <v>599</v>
      </c>
      <c r="G736" s="1054"/>
      <c r="H736" s="1054">
        <v>127.71</v>
      </c>
      <c r="I736" s="471">
        <f t="shared" si="82"/>
        <v>7997.8140000000003</v>
      </c>
      <c r="J736" s="1050" t="s">
        <v>273</v>
      </c>
      <c r="K736" s="84">
        <f t="shared" si="79"/>
        <v>6230</v>
      </c>
      <c r="L736" s="84" t="str">
        <f>VLOOKUP($J736,'2 CODIFICATION'!A$5:B$21,2,"FAUX")</f>
        <v>ADMINIST ET FONCT</v>
      </c>
      <c r="M736" s="84" t="str">
        <f>VLOOKUP($K736,'2 CODIFICATION'!D$8:E$64,2,"FAUX")</f>
        <v>communication</v>
      </c>
      <c r="N736" s="84">
        <v>623000</v>
      </c>
      <c r="O736" s="206">
        <f t="shared" si="80"/>
        <v>-127.71</v>
      </c>
      <c r="P736" s="74">
        <f t="shared" si="81"/>
        <v>2024</v>
      </c>
      <c r="Q736" s="270" t="str">
        <f>VLOOKUP($N736,'2 CODIFICATION'!$G$5:$L$71,3,FALSE)</f>
        <v>Publicité, publications, Création de site web</v>
      </c>
      <c r="R736" s="271" t="str">
        <f>VLOOKUP($N736,'2 CODIFICATION'!$G$5:$L$71,4,FALSE)</f>
        <v>chges</v>
      </c>
      <c r="S736" s="271">
        <f>VLOOKUP($N736,'2 CODIFICATION'!$G$5:$L$71,5,FALSE)</f>
        <v>62</v>
      </c>
      <c r="T736" s="270" t="str">
        <f>VLOOKUP($N736,'2 CODIFICATION'!$G$5:$L$71,6,FALSE)</f>
        <v>Autres services extérieurs</v>
      </c>
    </row>
    <row r="737" spans="1:20" s="78" customFormat="1" hidden="1">
      <c r="A737" s="78" t="s">
        <v>875</v>
      </c>
      <c r="B737" s="427" t="s">
        <v>79</v>
      </c>
      <c r="D737" s="1047">
        <v>45542</v>
      </c>
      <c r="E737" s="1048" t="s">
        <v>599</v>
      </c>
      <c r="G737" s="1054">
        <v>467.2</v>
      </c>
      <c r="H737" s="1054"/>
      <c r="I737" s="471">
        <f t="shared" si="82"/>
        <v>8465.014000000001</v>
      </c>
      <c r="J737" s="1050" t="s">
        <v>273</v>
      </c>
      <c r="K737" s="84">
        <f t="shared" si="79"/>
        <v>6230</v>
      </c>
      <c r="L737" s="84" t="str">
        <f>VLOOKUP($J737,'2 CODIFICATION'!A$5:B$21,2,"FAUX")</f>
        <v>ADMINIST ET FONCT</v>
      </c>
      <c r="M737" s="84" t="str">
        <f>VLOOKUP($K737,'2 CODIFICATION'!D$8:E$64,2,"FAUX")</f>
        <v>communication</v>
      </c>
      <c r="N737" s="84">
        <v>623000</v>
      </c>
      <c r="O737" s="206">
        <f t="shared" si="80"/>
        <v>467.2</v>
      </c>
      <c r="P737" s="74">
        <f t="shared" si="81"/>
        <v>2024</v>
      </c>
      <c r="Q737" s="270" t="str">
        <f>VLOOKUP($N737,'2 CODIFICATION'!$G$5:$L$71,3,FALSE)</f>
        <v>Publicité, publications, Création de site web</v>
      </c>
      <c r="R737" s="271" t="str">
        <f>VLOOKUP($N737,'2 CODIFICATION'!$G$5:$L$71,4,FALSE)</f>
        <v>chges</v>
      </c>
      <c r="S737" s="271">
        <f>VLOOKUP($N737,'2 CODIFICATION'!$G$5:$L$71,5,FALSE)</f>
        <v>62</v>
      </c>
      <c r="T737" s="270" t="str">
        <f>VLOOKUP($N737,'2 CODIFICATION'!$G$5:$L$71,6,FALSE)</f>
        <v>Autres services extérieurs</v>
      </c>
    </row>
    <row r="738" spans="1:20" s="78" customFormat="1" hidden="1">
      <c r="A738" s="78" t="s">
        <v>875</v>
      </c>
      <c r="B738" s="427" t="s">
        <v>79</v>
      </c>
      <c r="D738" s="1047">
        <v>45567</v>
      </c>
      <c r="E738" s="1048" t="s">
        <v>624</v>
      </c>
      <c r="G738" s="1052">
        <v>10</v>
      </c>
      <c r="H738" s="1049"/>
      <c r="I738" s="471">
        <f t="shared" si="82"/>
        <v>8475.014000000001</v>
      </c>
      <c r="J738" s="1050" t="s">
        <v>273</v>
      </c>
      <c r="K738" s="84">
        <f t="shared" si="79"/>
        <v>7581</v>
      </c>
      <c r="L738" s="84" t="str">
        <f>VLOOKUP($J738,'2 CODIFICATION'!A$5:B$21,2,"FAUX")</f>
        <v>ADMINIST ET FONCT</v>
      </c>
      <c r="M738" s="84" t="str">
        <f>VLOOKUP($K738,'2 CODIFICATION'!D$8:E$64,2,"FAUX")</f>
        <v>Adhésions association</v>
      </c>
      <c r="N738" s="84">
        <v>758100</v>
      </c>
      <c r="O738" s="206">
        <f t="shared" si="80"/>
        <v>10</v>
      </c>
      <c r="P738" s="74">
        <f t="shared" si="81"/>
        <v>2024</v>
      </c>
      <c r="Q738" s="270" t="str">
        <f>VLOOKUP($N738,'2 CODIFICATION'!$G$5:$L$71,3,FALSE)</f>
        <v>Cotisations individuelles et associatives</v>
      </c>
      <c r="R738" s="271" t="str">
        <f>VLOOKUP($N738,'2 CODIFICATION'!$G$5:$L$71,4,FALSE)</f>
        <v>pdts</v>
      </c>
      <c r="S738" s="271">
        <f>VLOOKUP($N738,'2 CODIFICATION'!$G$5:$L$71,5,FALSE)</f>
        <v>75</v>
      </c>
      <c r="T738" s="270" t="str">
        <f>VLOOKUP($N738,'2 CODIFICATION'!$G$5:$L$71,6,FALSE)</f>
        <v>Autres produits de gestion courante</v>
      </c>
    </row>
    <row r="739" spans="1:20" s="78" customFormat="1" hidden="1">
      <c r="A739" s="78" t="s">
        <v>875</v>
      </c>
      <c r="B739" s="427" t="s">
        <v>79</v>
      </c>
      <c r="D739" s="1047">
        <v>45567</v>
      </c>
      <c r="E739" s="1048" t="s">
        <v>629</v>
      </c>
      <c r="G739" s="1052">
        <v>50</v>
      </c>
      <c r="H739" s="1049"/>
      <c r="I739" s="471">
        <f t="shared" si="82"/>
        <v>8525.014000000001</v>
      </c>
      <c r="J739" s="1050" t="s">
        <v>273</v>
      </c>
      <c r="K739" s="84">
        <f t="shared" si="79"/>
        <v>7581</v>
      </c>
      <c r="L739" s="84" t="str">
        <f>VLOOKUP($J739,'2 CODIFICATION'!A$5:B$21,2,"FAUX")</f>
        <v>ADMINIST ET FONCT</v>
      </c>
      <c r="M739" s="84" t="str">
        <f>VLOOKUP($K739,'2 CODIFICATION'!D$8:E$64,2,"FAUX")</f>
        <v>Adhésions association</v>
      </c>
      <c r="N739" s="84">
        <v>758100</v>
      </c>
      <c r="O739" s="206">
        <f t="shared" si="80"/>
        <v>50</v>
      </c>
      <c r="P739" s="74">
        <f t="shared" si="81"/>
        <v>2024</v>
      </c>
      <c r="Q739" s="270" t="str">
        <f>VLOOKUP($N739,'2 CODIFICATION'!$G$5:$L$71,3,FALSE)</f>
        <v>Cotisations individuelles et associatives</v>
      </c>
      <c r="R739" s="271" t="str">
        <f>VLOOKUP($N739,'2 CODIFICATION'!$G$5:$L$71,4,FALSE)</f>
        <v>pdts</v>
      </c>
      <c r="S739" s="271">
        <f>VLOOKUP($N739,'2 CODIFICATION'!$G$5:$L$71,5,FALSE)</f>
        <v>75</v>
      </c>
      <c r="T739" s="270" t="str">
        <f>VLOOKUP($N739,'2 CODIFICATION'!$G$5:$L$71,6,FALSE)</f>
        <v>Autres produits de gestion courante</v>
      </c>
    </row>
    <row r="740" spans="1:20" s="78" customFormat="1" hidden="1">
      <c r="A740" s="78" t="s">
        <v>875</v>
      </c>
      <c r="B740" s="427" t="s">
        <v>79</v>
      </c>
      <c r="D740" s="1047">
        <v>45627</v>
      </c>
      <c r="E740" s="1048" t="s">
        <v>729</v>
      </c>
      <c r="G740" s="1049">
        <v>20</v>
      </c>
      <c r="H740" s="1049"/>
      <c r="I740" s="471">
        <f t="shared" si="82"/>
        <v>8545.014000000001</v>
      </c>
      <c r="J740" s="1050" t="s">
        <v>273</v>
      </c>
      <c r="K740" s="84">
        <f t="shared" si="79"/>
        <v>7581</v>
      </c>
      <c r="L740" s="84" t="str">
        <f>VLOOKUP($J740,'2 CODIFICATION'!A$5:B$21,2,"FAUX")</f>
        <v>ADMINIST ET FONCT</v>
      </c>
      <c r="M740" s="84" t="str">
        <f>VLOOKUP($K740,'2 CODIFICATION'!D$8:E$64,2,"FAUX")</f>
        <v>Adhésions association</v>
      </c>
      <c r="N740" s="84">
        <v>758100</v>
      </c>
      <c r="O740" s="206">
        <f t="shared" si="80"/>
        <v>20</v>
      </c>
      <c r="P740" s="74">
        <f t="shared" si="81"/>
        <v>2024</v>
      </c>
      <c r="Q740" s="270" t="str">
        <f>VLOOKUP($N740,'2 CODIFICATION'!$G$5:$L$71,3,FALSE)</f>
        <v>Cotisations individuelles et associatives</v>
      </c>
      <c r="R740" s="271" t="str">
        <f>VLOOKUP($N740,'2 CODIFICATION'!$G$5:$L$71,4,FALSE)</f>
        <v>pdts</v>
      </c>
      <c r="S740" s="271">
        <f>VLOOKUP($N740,'2 CODIFICATION'!$G$5:$L$71,5,FALSE)</f>
        <v>75</v>
      </c>
      <c r="T740" s="270" t="str">
        <f>VLOOKUP($N740,'2 CODIFICATION'!$G$5:$L$71,6,FALSE)</f>
        <v>Autres produits de gestion courante</v>
      </c>
    </row>
    <row r="741" spans="1:20" s="78" customFormat="1" hidden="1">
      <c r="A741" s="78" t="s">
        <v>875</v>
      </c>
      <c r="B741" s="427" t="s">
        <v>79</v>
      </c>
      <c r="D741" s="1047">
        <v>45610</v>
      </c>
      <c r="E741" s="1048" t="s">
        <v>728</v>
      </c>
      <c r="G741" s="1049"/>
      <c r="H741" s="1049">
        <v>123.98</v>
      </c>
      <c r="I741" s="471">
        <f t="shared" si="82"/>
        <v>8421.0340000000015</v>
      </c>
      <c r="J741" s="1050" t="s">
        <v>273</v>
      </c>
      <c r="K741" s="84">
        <f t="shared" ref="K741:K759" si="83">N741/100</f>
        <v>6230</v>
      </c>
      <c r="L741" s="84" t="str">
        <f>VLOOKUP($J741,'2 CODIFICATION'!A$5:B$21,2,"FAUX")</f>
        <v>ADMINIST ET FONCT</v>
      </c>
      <c r="M741" s="84" t="str">
        <f>VLOOKUP($K741,'2 CODIFICATION'!D$8:E$64,2,"FAUX")</f>
        <v>communication</v>
      </c>
      <c r="N741" s="84">
        <v>623000</v>
      </c>
      <c r="O741" s="206">
        <f t="shared" ref="O741:O768" si="84">G741-H741</f>
        <v>-123.98</v>
      </c>
      <c r="P741" s="74">
        <f t="shared" ref="P741:P768" si="85">YEAR(D741)</f>
        <v>2024</v>
      </c>
      <c r="Q741" s="270" t="str">
        <f>VLOOKUP($N741,'2 CODIFICATION'!$G$5:$L$71,3,FALSE)</f>
        <v>Publicité, publications, Création de site web</v>
      </c>
      <c r="R741" s="271" t="str">
        <f>VLOOKUP($N741,'2 CODIFICATION'!$G$5:$L$71,4,FALSE)</f>
        <v>chges</v>
      </c>
      <c r="S741" s="271">
        <f>VLOOKUP($N741,'2 CODIFICATION'!$G$5:$L$71,5,FALSE)</f>
        <v>62</v>
      </c>
      <c r="T741" s="270" t="str">
        <f>VLOOKUP($N741,'2 CODIFICATION'!$G$5:$L$71,6,FALSE)</f>
        <v>Autres services extérieurs</v>
      </c>
    </row>
    <row r="742" spans="1:20" s="78" customFormat="1" hidden="1">
      <c r="A742" s="78" t="s">
        <v>875</v>
      </c>
      <c r="B742" s="427" t="s">
        <v>79</v>
      </c>
      <c r="D742" s="1047">
        <v>45610</v>
      </c>
      <c r="E742" s="1048" t="s">
        <v>650</v>
      </c>
      <c r="G742" s="1049">
        <v>99.184000000000012</v>
      </c>
      <c r="H742" s="1049"/>
      <c r="I742" s="471">
        <f t="shared" si="82"/>
        <v>8520.2180000000008</v>
      </c>
      <c r="J742" s="1050" t="s">
        <v>273</v>
      </c>
      <c r="K742" s="84">
        <f t="shared" si="83"/>
        <v>6230</v>
      </c>
      <c r="L742" s="84" t="str">
        <f>VLOOKUP($J742,'2 CODIFICATION'!A$5:B$21,2,"FAUX")</f>
        <v>ADMINIST ET FONCT</v>
      </c>
      <c r="M742" s="84" t="str">
        <f>VLOOKUP($K742,'2 CODIFICATION'!D$8:E$64,2,"FAUX")</f>
        <v>communication</v>
      </c>
      <c r="N742" s="84">
        <v>623000</v>
      </c>
      <c r="O742" s="206">
        <f t="shared" si="84"/>
        <v>99.184000000000012</v>
      </c>
      <c r="P742" s="74">
        <f t="shared" si="85"/>
        <v>2024</v>
      </c>
      <c r="Q742" s="270" t="str">
        <f>VLOOKUP($N742,'2 CODIFICATION'!$G$5:$L$71,3,FALSE)</f>
        <v>Publicité, publications, Création de site web</v>
      </c>
      <c r="R742" s="271" t="str">
        <f>VLOOKUP($N742,'2 CODIFICATION'!$G$5:$L$71,4,FALSE)</f>
        <v>chges</v>
      </c>
      <c r="S742" s="271">
        <f>VLOOKUP($N742,'2 CODIFICATION'!$G$5:$L$71,5,FALSE)</f>
        <v>62</v>
      </c>
      <c r="T742" s="270" t="str">
        <f>VLOOKUP($N742,'2 CODIFICATION'!$G$5:$L$71,6,FALSE)</f>
        <v>Autres services extérieurs</v>
      </c>
    </row>
    <row r="743" spans="1:20" s="78" customFormat="1" hidden="1">
      <c r="A743" s="78" t="s">
        <v>875</v>
      </c>
      <c r="B743" s="427" t="s">
        <v>79</v>
      </c>
      <c r="D743" s="1047">
        <v>45610</v>
      </c>
      <c r="E743" s="1048" t="s">
        <v>727</v>
      </c>
      <c r="G743" s="1049">
        <v>70</v>
      </c>
      <c r="H743" s="1049"/>
      <c r="I743" s="471">
        <f t="shared" si="82"/>
        <v>8590.2180000000008</v>
      </c>
      <c r="J743" s="1050" t="s">
        <v>273</v>
      </c>
      <c r="K743" s="84">
        <f t="shared" si="83"/>
        <v>7581</v>
      </c>
      <c r="L743" s="84" t="str">
        <f>VLOOKUP($J743,'2 CODIFICATION'!A$5:B$21,2,"FAUX")</f>
        <v>ADMINIST ET FONCT</v>
      </c>
      <c r="M743" s="84" t="str">
        <f>VLOOKUP($K743,'2 CODIFICATION'!D$8:E$64,2,"FAUX")</f>
        <v>Adhésions association</v>
      </c>
      <c r="N743" s="84">
        <v>758100</v>
      </c>
      <c r="O743" s="206">
        <f t="shared" si="84"/>
        <v>70</v>
      </c>
      <c r="P743" s="74">
        <f t="shared" si="85"/>
        <v>2024</v>
      </c>
      <c r="Q743" s="270" t="str">
        <f>VLOOKUP($N743,'2 CODIFICATION'!$G$5:$L$71,3,FALSE)</f>
        <v>Cotisations individuelles et associatives</v>
      </c>
      <c r="R743" s="271" t="str">
        <f>VLOOKUP($N743,'2 CODIFICATION'!$G$5:$L$71,4,FALSE)</f>
        <v>pdts</v>
      </c>
      <c r="S743" s="271">
        <f>VLOOKUP($N743,'2 CODIFICATION'!$G$5:$L$71,5,FALSE)</f>
        <v>75</v>
      </c>
      <c r="T743" s="270" t="str">
        <f>VLOOKUP($N743,'2 CODIFICATION'!$G$5:$L$71,6,FALSE)</f>
        <v>Autres produits de gestion courante</v>
      </c>
    </row>
    <row r="744" spans="1:20" s="78" customFormat="1" ht="21.5" hidden="1">
      <c r="A744" s="78" t="s">
        <v>875</v>
      </c>
      <c r="B744" s="427" t="s">
        <v>79</v>
      </c>
      <c r="D744" s="1047">
        <v>45603</v>
      </c>
      <c r="E744" s="1048" t="s">
        <v>636</v>
      </c>
      <c r="G744" s="1049">
        <v>100</v>
      </c>
      <c r="H744" s="1049"/>
      <c r="I744" s="471">
        <f t="shared" si="82"/>
        <v>8690.2180000000008</v>
      </c>
      <c r="J744" s="1050" t="s">
        <v>273</v>
      </c>
      <c r="K744" s="84">
        <f t="shared" si="83"/>
        <v>7581</v>
      </c>
      <c r="L744" s="84" t="str">
        <f>VLOOKUP($J744,'2 CODIFICATION'!A$5:B$21,2,"FAUX")</f>
        <v>ADMINIST ET FONCT</v>
      </c>
      <c r="M744" s="84" t="str">
        <f>VLOOKUP($K744,'2 CODIFICATION'!D$8:E$64,2,"FAUX")</f>
        <v>Adhésions association</v>
      </c>
      <c r="N744" s="84">
        <v>758100</v>
      </c>
      <c r="O744" s="206">
        <f t="shared" si="84"/>
        <v>100</v>
      </c>
      <c r="P744" s="74">
        <f t="shared" si="85"/>
        <v>2024</v>
      </c>
      <c r="Q744" s="270" t="str">
        <f>VLOOKUP($N744,'2 CODIFICATION'!$G$5:$L$71,3,FALSE)</f>
        <v>Cotisations individuelles et associatives</v>
      </c>
      <c r="R744" s="271" t="str">
        <f>VLOOKUP($N744,'2 CODIFICATION'!$G$5:$L$71,4,FALSE)</f>
        <v>pdts</v>
      </c>
      <c r="S744" s="271">
        <f>VLOOKUP($N744,'2 CODIFICATION'!$G$5:$L$71,5,FALSE)</f>
        <v>75</v>
      </c>
      <c r="T744" s="270" t="str">
        <f>VLOOKUP($N744,'2 CODIFICATION'!$G$5:$L$71,6,FALSE)</f>
        <v>Autres produits de gestion courante</v>
      </c>
    </row>
    <row r="745" spans="1:20" s="78" customFormat="1" ht="21.5" hidden="1">
      <c r="A745" s="78" t="s">
        <v>875</v>
      </c>
      <c r="B745" s="427" t="s">
        <v>79</v>
      </c>
      <c r="D745" s="1047">
        <v>45599</v>
      </c>
      <c r="E745" s="1048" t="s">
        <v>726</v>
      </c>
      <c r="G745" s="1049">
        <v>100</v>
      </c>
      <c r="H745" s="1049"/>
      <c r="I745" s="471">
        <f t="shared" si="82"/>
        <v>8790.2180000000008</v>
      </c>
      <c r="J745" s="1050" t="s">
        <v>273</v>
      </c>
      <c r="K745" s="84">
        <f t="shared" si="83"/>
        <v>7581</v>
      </c>
      <c r="L745" s="84" t="str">
        <f>VLOOKUP($J745,'2 CODIFICATION'!A$5:B$21,2,"FAUX")</f>
        <v>ADMINIST ET FONCT</v>
      </c>
      <c r="M745" s="84" t="str">
        <f>VLOOKUP($K745,'2 CODIFICATION'!D$8:E$64,2,"FAUX")</f>
        <v>Adhésions association</v>
      </c>
      <c r="N745" s="84">
        <v>758100</v>
      </c>
      <c r="O745" s="206">
        <f t="shared" si="84"/>
        <v>100</v>
      </c>
      <c r="P745" s="74">
        <f t="shared" si="85"/>
        <v>2024</v>
      </c>
      <c r="Q745" s="270" t="str">
        <f>VLOOKUP($N745,'2 CODIFICATION'!$G$5:$L$71,3,FALSE)</f>
        <v>Cotisations individuelles et associatives</v>
      </c>
      <c r="R745" s="271" t="str">
        <f>VLOOKUP($N745,'2 CODIFICATION'!$G$5:$L$71,4,FALSE)</f>
        <v>pdts</v>
      </c>
      <c r="S745" s="271">
        <f>VLOOKUP($N745,'2 CODIFICATION'!$G$5:$L$71,5,FALSE)</f>
        <v>75</v>
      </c>
      <c r="T745" s="270" t="str">
        <f>VLOOKUP($N745,'2 CODIFICATION'!$G$5:$L$71,6,FALSE)</f>
        <v>Autres produits de gestion courante</v>
      </c>
    </row>
    <row r="746" spans="1:20" s="78" customFormat="1" hidden="1">
      <c r="A746" s="78" t="s">
        <v>875</v>
      </c>
      <c r="B746" s="427" t="s">
        <v>79</v>
      </c>
      <c r="D746" s="1047">
        <v>45582</v>
      </c>
      <c r="E746" s="1048" t="s">
        <v>725</v>
      </c>
      <c r="G746" s="1051">
        <v>434.78</v>
      </c>
      <c r="H746" s="1049"/>
      <c r="I746" s="471">
        <f t="shared" si="82"/>
        <v>9224.9980000000014</v>
      </c>
      <c r="J746" s="1050" t="s">
        <v>273</v>
      </c>
      <c r="K746" s="84">
        <f t="shared" si="83"/>
        <v>7771</v>
      </c>
      <c r="L746" s="84" t="str">
        <f>VLOOKUP($J746,'2 CODIFICATION'!A$5:B$21,2,"FAUX")</f>
        <v>ADMINIST ET FONCT</v>
      </c>
      <c r="M746" s="84" t="str">
        <f>VLOOKUP($K746,'2 CODIFICATION'!D$8:E$64,2,"FAUX")</f>
        <v>Dons et participations à l"association</v>
      </c>
      <c r="N746" s="84">
        <v>777100</v>
      </c>
      <c r="O746" s="206">
        <f t="shared" si="84"/>
        <v>434.78</v>
      </c>
      <c r="P746" s="74">
        <f t="shared" si="85"/>
        <v>2024</v>
      </c>
      <c r="Q746" s="270" t="str">
        <f>VLOOKUP($N746,'2 CODIFICATION'!$G$5:$L$71,3,FALSE)</f>
        <v>Dons et autres mises à dispositions gratuites</v>
      </c>
      <c r="R746" s="271" t="str">
        <f>VLOOKUP($N746,'2 CODIFICATION'!$G$5:$L$71,4,FALSE)</f>
        <v>pdts</v>
      </c>
      <c r="S746" s="271">
        <f>VLOOKUP($N746,'2 CODIFICATION'!$G$5:$L$71,5,FALSE)</f>
        <v>77</v>
      </c>
      <c r="T746" s="270" t="str">
        <f>VLOOKUP($N746,'2 CODIFICATION'!$G$5:$L$71,6,FALSE)</f>
        <v>Produits exceptionnels</v>
      </c>
    </row>
    <row r="747" spans="1:20" s="78" customFormat="1" hidden="1">
      <c r="A747" s="78" t="s">
        <v>875</v>
      </c>
      <c r="B747" s="427" t="s">
        <v>79</v>
      </c>
      <c r="D747" s="1047">
        <v>45382</v>
      </c>
      <c r="E747" s="1048" t="s">
        <v>774</v>
      </c>
      <c r="F747" s="1055"/>
      <c r="G747" s="1049"/>
      <c r="H747" s="1049">
        <v>300</v>
      </c>
      <c r="I747" s="471">
        <f t="shared" si="82"/>
        <v>8924.9980000000014</v>
      </c>
      <c r="J747" s="1050" t="s">
        <v>273</v>
      </c>
      <c r="K747" s="84">
        <f t="shared" si="83"/>
        <v>6040</v>
      </c>
      <c r="L747" s="84" t="str">
        <f>VLOOKUP($J747,'2 CODIFICATION'!A$5:B$21,2,"FAUX")</f>
        <v>ADMINIST ET FONCT</v>
      </c>
      <c r="M747" s="84" t="str">
        <f>VLOOKUP($K747,'2 CODIFICATION'!D$8:E$64,2,"FAUX")</f>
        <v>prestations études</v>
      </c>
      <c r="N747" s="84">
        <v>604000</v>
      </c>
      <c r="O747" s="206">
        <f t="shared" si="84"/>
        <v>-300</v>
      </c>
      <c r="P747" s="74">
        <f t="shared" si="85"/>
        <v>2024</v>
      </c>
      <c r="Q747" s="270" t="str">
        <f>VLOOKUP($N747,'2 CODIFICATION'!$G$5:$L$71,3,FALSE)</f>
        <v>Prestations de services (Hydrogéologue Nokbak)</v>
      </c>
      <c r="R747" s="271" t="str">
        <f>VLOOKUP($N747,'2 CODIFICATION'!$G$5:$L$71,4,FALSE)</f>
        <v>chges</v>
      </c>
      <c r="S747" s="271">
        <f>VLOOKUP($N747,'2 CODIFICATION'!$G$5:$L$71,5,FALSE)</f>
        <v>60</v>
      </c>
      <c r="T747" s="270" t="str">
        <f>VLOOKUP($N747,'2 CODIFICATION'!$G$5:$L$71,6,FALSE)</f>
        <v>Achat</v>
      </c>
    </row>
    <row r="748" spans="1:20" s="78" customFormat="1" hidden="1">
      <c r="A748" s="78" t="s">
        <v>875</v>
      </c>
      <c r="B748" s="427" t="s">
        <v>79</v>
      </c>
      <c r="D748" s="1047">
        <v>45473</v>
      </c>
      <c r="E748" s="1048" t="s">
        <v>774</v>
      </c>
      <c r="F748" s="1055"/>
      <c r="G748" s="1049"/>
      <c r="H748" s="1049">
        <v>300</v>
      </c>
      <c r="I748" s="471">
        <f t="shared" si="82"/>
        <v>8624.9980000000014</v>
      </c>
      <c r="J748" s="1050" t="s">
        <v>273</v>
      </c>
      <c r="K748" s="84">
        <f t="shared" si="83"/>
        <v>6040</v>
      </c>
      <c r="L748" s="84" t="str">
        <f>VLOOKUP($J748,'2 CODIFICATION'!A$5:B$21,2,"FAUX")</f>
        <v>ADMINIST ET FONCT</v>
      </c>
      <c r="M748" s="84" t="str">
        <f>VLOOKUP($K748,'2 CODIFICATION'!D$8:E$64,2,"FAUX")</f>
        <v>prestations études</v>
      </c>
      <c r="N748" s="84">
        <v>604000</v>
      </c>
      <c r="O748" s="206">
        <f t="shared" si="84"/>
        <v>-300</v>
      </c>
      <c r="P748" s="74">
        <f t="shared" si="85"/>
        <v>2024</v>
      </c>
      <c r="Q748" s="270" t="str">
        <f>VLOOKUP($N748,'2 CODIFICATION'!$G$5:$L$71,3,FALSE)</f>
        <v>Prestations de services (Hydrogéologue Nokbak)</v>
      </c>
      <c r="R748" s="271" t="str">
        <f>VLOOKUP($N748,'2 CODIFICATION'!$G$5:$L$71,4,FALSE)</f>
        <v>chges</v>
      </c>
      <c r="S748" s="271">
        <f>VLOOKUP($N748,'2 CODIFICATION'!$G$5:$L$71,5,FALSE)</f>
        <v>60</v>
      </c>
      <c r="T748" s="270" t="str">
        <f>VLOOKUP($N748,'2 CODIFICATION'!$G$5:$L$71,6,FALSE)</f>
        <v>Achat</v>
      </c>
    </row>
    <row r="749" spans="1:20" s="78" customFormat="1" hidden="1">
      <c r="A749" s="78" t="s">
        <v>724</v>
      </c>
      <c r="B749" s="427" t="s">
        <v>79</v>
      </c>
      <c r="D749" s="1047">
        <v>45535</v>
      </c>
      <c r="E749" s="1048" t="s">
        <v>886</v>
      </c>
      <c r="F749" s="1055"/>
      <c r="G749" s="1049"/>
      <c r="H749" s="1051"/>
      <c r="I749" s="471">
        <f>+G749-H749+I747</f>
        <v>8924.9980000000014</v>
      </c>
      <c r="J749" s="1050" t="s">
        <v>273</v>
      </c>
      <c r="K749" s="84">
        <f t="shared" si="83"/>
        <v>6256</v>
      </c>
      <c r="L749" s="84" t="str">
        <f>VLOOKUP($J749,'2 CODIFICATION'!A$5:B$21,2,"FAUX")</f>
        <v>ADMINIST ET FONCT</v>
      </c>
      <c r="M749" s="84" t="str">
        <f>VLOOKUP($K749,'2 CODIFICATION'!D$8:E$64,2,"FAUX")</f>
        <v>Frais de mission</v>
      </c>
      <c r="N749" s="84">
        <v>625600</v>
      </c>
      <c r="O749" s="206">
        <f t="shared" si="84"/>
        <v>0</v>
      </c>
      <c r="P749" s="74">
        <f t="shared" si="85"/>
        <v>2024</v>
      </c>
      <c r="Q749" s="270" t="str">
        <f>VLOOKUP($N749,'2 CODIFICATION'!$G$5:$L$71,3,FALSE)</f>
        <v>Missions et manifestations</v>
      </c>
      <c r="R749" s="271" t="str">
        <f>VLOOKUP($N749,'2 CODIFICATION'!$G$5:$L$71,4,FALSE)</f>
        <v>chges</v>
      </c>
      <c r="S749" s="271">
        <f>VLOOKUP($N749,'2 CODIFICATION'!$G$5:$L$71,5,FALSE)</f>
        <v>62</v>
      </c>
      <c r="T749" s="270" t="str">
        <f>VLOOKUP($N749,'2 CODIFICATION'!$G$5:$L$71,6,FALSE)</f>
        <v>Autres services extérieurs</v>
      </c>
    </row>
    <row r="750" spans="1:20" s="78" customFormat="1" hidden="1">
      <c r="A750" s="78" t="s">
        <v>875</v>
      </c>
      <c r="B750" s="427" t="s">
        <v>79</v>
      </c>
      <c r="D750" s="1047">
        <v>45535</v>
      </c>
      <c r="E750" s="1048" t="s">
        <v>876</v>
      </c>
      <c r="F750" s="1055"/>
      <c r="G750" s="1049"/>
      <c r="H750" s="1051">
        <v>1500</v>
      </c>
      <c r="I750" s="471">
        <f>+G750-H750+I748</f>
        <v>7124.9980000000014</v>
      </c>
      <c r="J750" s="1050" t="s">
        <v>273</v>
      </c>
      <c r="K750" s="84">
        <f t="shared" si="83"/>
        <v>6256</v>
      </c>
      <c r="L750" s="84" t="str">
        <f>VLOOKUP($J750,'2 CODIFICATION'!A$5:B$21,2,"FAUX")</f>
        <v>ADMINIST ET FONCT</v>
      </c>
      <c r="M750" s="84" t="str">
        <f>VLOOKUP($K750,'2 CODIFICATION'!D$8:E$64,2,"FAUX")</f>
        <v>Frais de mission</v>
      </c>
      <c r="N750" s="84">
        <v>625600</v>
      </c>
      <c r="O750" s="206">
        <f t="shared" si="84"/>
        <v>-1500</v>
      </c>
      <c r="P750" s="74">
        <f t="shared" si="85"/>
        <v>2024</v>
      </c>
      <c r="Q750" s="270" t="str">
        <f>VLOOKUP($N750,'2 CODIFICATION'!$G$5:$L$71,3,FALSE)</f>
        <v>Missions et manifestations</v>
      </c>
      <c r="R750" s="271" t="str">
        <f>VLOOKUP($N750,'2 CODIFICATION'!$G$5:$L$71,4,FALSE)</f>
        <v>chges</v>
      </c>
      <c r="S750" s="271">
        <f>VLOOKUP($N750,'2 CODIFICATION'!$G$5:$L$71,5,FALSE)</f>
        <v>62</v>
      </c>
      <c r="T750" s="270" t="str">
        <f>VLOOKUP($N750,'2 CODIFICATION'!$G$5:$L$71,6,FALSE)</f>
        <v>Autres services extérieurs</v>
      </c>
    </row>
    <row r="751" spans="1:20" s="78" customFormat="1" hidden="1">
      <c r="A751" s="78" t="s">
        <v>875</v>
      </c>
      <c r="B751" s="427" t="s">
        <v>79</v>
      </c>
      <c r="D751" s="1047">
        <v>45535</v>
      </c>
      <c r="E751" s="1048" t="s">
        <v>775</v>
      </c>
      <c r="F751" s="1055"/>
      <c r="G751" s="1051">
        <v>1500</v>
      </c>
      <c r="H751" s="1049"/>
      <c r="I751" s="471">
        <f>+G751-H751+I750</f>
        <v>8624.9980000000014</v>
      </c>
      <c r="J751" s="1050" t="s">
        <v>273</v>
      </c>
      <c r="K751" s="84">
        <f t="shared" si="83"/>
        <v>7771</v>
      </c>
      <c r="L751" s="84" t="str">
        <f>VLOOKUP($J751,'2 CODIFICATION'!A$5:B$21,2,"FAUX")</f>
        <v>ADMINIST ET FONCT</v>
      </c>
      <c r="M751" s="84" t="str">
        <f>VLOOKUP($K751,'2 CODIFICATION'!D$8:E$64,2,"FAUX")</f>
        <v>Dons et participations à l"association</v>
      </c>
      <c r="N751" s="84">
        <v>777100</v>
      </c>
      <c r="O751" s="206">
        <f t="shared" si="84"/>
        <v>1500</v>
      </c>
      <c r="P751" s="74">
        <f t="shared" si="85"/>
        <v>2024</v>
      </c>
      <c r="Q751" s="270" t="str">
        <f>VLOOKUP($N751,'2 CODIFICATION'!$G$5:$L$71,3,FALSE)</f>
        <v>Dons et autres mises à dispositions gratuites</v>
      </c>
      <c r="R751" s="271" t="str">
        <f>VLOOKUP($N751,'2 CODIFICATION'!$G$5:$L$71,4,FALSE)</f>
        <v>pdts</v>
      </c>
      <c r="S751" s="271">
        <f>VLOOKUP($N751,'2 CODIFICATION'!$G$5:$L$71,5,FALSE)</f>
        <v>77</v>
      </c>
      <c r="T751" s="270" t="str">
        <f>VLOOKUP($N751,'2 CODIFICATION'!$G$5:$L$71,6,FALSE)</f>
        <v>Produits exceptionnels</v>
      </c>
    </row>
    <row r="752" spans="1:20" s="78" customFormat="1" hidden="1">
      <c r="A752" s="78" t="s">
        <v>875</v>
      </c>
      <c r="B752" s="427" t="s">
        <v>79</v>
      </c>
      <c r="D752" s="1047">
        <v>45535</v>
      </c>
      <c r="E752" s="1048" t="s">
        <v>882</v>
      </c>
      <c r="F752" s="1055"/>
      <c r="G752" s="1051">
        <f>7300/2*0.25</f>
        <v>912.5</v>
      </c>
      <c r="H752" s="1049"/>
      <c r="I752" s="471">
        <f>+G752-H752+I750</f>
        <v>8037.4980000000014</v>
      </c>
      <c r="J752" s="1050" t="s">
        <v>273</v>
      </c>
      <c r="K752" s="84">
        <f t="shared" si="83"/>
        <v>7772</v>
      </c>
      <c r="L752" s="84" t="str">
        <f>VLOOKUP($J752,'2 CODIFICATION'!A$5:B$21,2,"FAUX")</f>
        <v>ADMINIST ET FONCT</v>
      </c>
      <c r="M752" s="84" t="str">
        <f>VLOOKUP($K752,'2 CODIFICATION'!D$8:E$64,2,"FAUX")</f>
        <v>Autres partenariats</v>
      </c>
      <c r="N752" s="84">
        <v>777200</v>
      </c>
      <c r="O752" s="206">
        <f t="shared" si="84"/>
        <v>912.5</v>
      </c>
      <c r="P752" s="74">
        <f t="shared" si="85"/>
        <v>2024</v>
      </c>
      <c r="Q752" s="270" t="str">
        <f>VLOOKUP($N752,'2 CODIFICATION'!$G$5:$L$71,3,FALSE)</f>
        <v>Autres partenariats</v>
      </c>
      <c r="R752" s="271" t="str">
        <f>VLOOKUP($N752,'2 CODIFICATION'!$G$5:$L$71,4,FALSE)</f>
        <v>pdts</v>
      </c>
      <c r="S752" s="271">
        <f>VLOOKUP($N752,'2 CODIFICATION'!$G$5:$L$71,5,FALSE)</f>
        <v>77</v>
      </c>
      <c r="T752" s="270" t="str">
        <f>VLOOKUP($N752,'2 CODIFICATION'!$G$5:$L$71,6,FALSE)</f>
        <v>Emplois des contributions volontaires</v>
      </c>
    </row>
    <row r="753" spans="1:20" s="78" customFormat="1" hidden="1">
      <c r="A753" s="78" t="s">
        <v>724</v>
      </c>
      <c r="B753" s="427" t="s">
        <v>79</v>
      </c>
      <c r="D753" s="1047">
        <v>45535</v>
      </c>
      <c r="E753" s="1048" t="s">
        <v>883</v>
      </c>
      <c r="F753" s="1055"/>
      <c r="G753" s="1051"/>
      <c r="H753" s="1049"/>
      <c r="I753" s="471">
        <f>+G753-H753+I751</f>
        <v>8624.9980000000014</v>
      </c>
      <c r="J753" s="1050" t="s">
        <v>273</v>
      </c>
      <c r="K753" s="84">
        <f t="shared" si="83"/>
        <v>7772</v>
      </c>
      <c r="L753" s="84" t="str">
        <f>VLOOKUP($J753,'2 CODIFICATION'!A$5:B$21,2,"FAUX")</f>
        <v>ADMINIST ET FONCT</v>
      </c>
      <c r="M753" s="84" t="str">
        <f>VLOOKUP($K753,'2 CODIFICATION'!D$8:E$64,2,"FAUX")</f>
        <v>Autres partenariats</v>
      </c>
      <c r="N753" s="84">
        <v>777200</v>
      </c>
      <c r="O753" s="206">
        <f t="shared" si="84"/>
        <v>0</v>
      </c>
      <c r="P753" s="74">
        <f t="shared" si="85"/>
        <v>2024</v>
      </c>
      <c r="Q753" s="270" t="str">
        <f>VLOOKUP($N753,'2 CODIFICATION'!$G$5:$L$71,3,FALSE)</f>
        <v>Autres partenariats</v>
      </c>
      <c r="R753" s="271" t="str">
        <f>VLOOKUP($N753,'2 CODIFICATION'!$G$5:$L$71,4,FALSE)</f>
        <v>pdts</v>
      </c>
      <c r="S753" s="271">
        <f>VLOOKUP($N753,'2 CODIFICATION'!$G$5:$L$71,5,FALSE)</f>
        <v>77</v>
      </c>
      <c r="T753" s="270" t="str">
        <f>VLOOKUP($N753,'2 CODIFICATION'!$G$5:$L$71,6,FALSE)</f>
        <v>Emplois des contributions volontaires</v>
      </c>
    </row>
    <row r="754" spans="1:20" s="78" customFormat="1" hidden="1">
      <c r="A754" s="78" t="s">
        <v>875</v>
      </c>
      <c r="B754" s="427" t="s">
        <v>79</v>
      </c>
      <c r="D754" s="1047">
        <v>45565</v>
      </c>
      <c r="E754" s="1048" t="s">
        <v>774</v>
      </c>
      <c r="F754" s="1055"/>
      <c r="G754" s="1049"/>
      <c r="H754" s="1049">
        <v>300</v>
      </c>
      <c r="I754" s="471">
        <f t="shared" ref="I754:I759" si="86">+G754-H754+I753</f>
        <v>8324.9980000000014</v>
      </c>
      <c r="J754" s="1050" t="s">
        <v>273</v>
      </c>
      <c r="K754" s="84">
        <f t="shared" si="83"/>
        <v>6040</v>
      </c>
      <c r="L754" s="84" t="str">
        <f>VLOOKUP($J754,'2 CODIFICATION'!A$5:B$21,2,"FAUX")</f>
        <v>ADMINIST ET FONCT</v>
      </c>
      <c r="M754" s="84" t="str">
        <f>VLOOKUP($K754,'2 CODIFICATION'!D$8:E$64,2,"FAUX")</f>
        <v>prestations études</v>
      </c>
      <c r="N754" s="84">
        <v>604000</v>
      </c>
      <c r="O754" s="206">
        <f t="shared" si="84"/>
        <v>-300</v>
      </c>
      <c r="P754" s="74">
        <f t="shared" si="85"/>
        <v>2024</v>
      </c>
      <c r="Q754" s="270" t="str">
        <f>VLOOKUP($N754,'2 CODIFICATION'!$G$5:$L$71,3,FALSE)</f>
        <v>Prestations de services (Hydrogéologue Nokbak)</v>
      </c>
      <c r="R754" s="271" t="str">
        <f>VLOOKUP($N754,'2 CODIFICATION'!$G$5:$L$71,4,FALSE)</f>
        <v>chges</v>
      </c>
      <c r="S754" s="271">
        <f>VLOOKUP($N754,'2 CODIFICATION'!$G$5:$L$71,5,FALSE)</f>
        <v>60</v>
      </c>
      <c r="T754" s="270" t="str">
        <f>VLOOKUP($N754,'2 CODIFICATION'!$G$5:$L$71,6,FALSE)</f>
        <v>Achat</v>
      </c>
    </row>
    <row r="755" spans="1:20" s="78" customFormat="1" hidden="1">
      <c r="A755" s="78" t="s">
        <v>875</v>
      </c>
      <c r="B755" s="427" t="s">
        <v>79</v>
      </c>
      <c r="D755" s="1047">
        <v>45657</v>
      </c>
      <c r="E755" s="1048" t="s">
        <v>774</v>
      </c>
      <c r="F755" s="1055"/>
      <c r="G755" s="1049"/>
      <c r="H755" s="1049">
        <v>300</v>
      </c>
      <c r="I755" s="471">
        <f t="shared" si="86"/>
        <v>8024.9980000000014</v>
      </c>
      <c r="J755" s="1050" t="s">
        <v>273</v>
      </c>
      <c r="K755" s="84">
        <f t="shared" si="83"/>
        <v>6040</v>
      </c>
      <c r="L755" s="84" t="str">
        <f>VLOOKUP($J755,'2 CODIFICATION'!A$5:B$21,2,"FAUX")</f>
        <v>ADMINIST ET FONCT</v>
      </c>
      <c r="M755" s="84" t="str">
        <f>VLOOKUP($K755,'2 CODIFICATION'!D$8:E$64,2,"FAUX")</f>
        <v>prestations études</v>
      </c>
      <c r="N755" s="84">
        <v>604000</v>
      </c>
      <c r="O755" s="206">
        <f t="shared" si="84"/>
        <v>-300</v>
      </c>
      <c r="P755" s="74">
        <f t="shared" si="85"/>
        <v>2024</v>
      </c>
      <c r="Q755" s="270" t="str">
        <f>VLOOKUP($N755,'2 CODIFICATION'!$G$5:$L$71,3,FALSE)</f>
        <v>Prestations de services (Hydrogéologue Nokbak)</v>
      </c>
      <c r="R755" s="271" t="str">
        <f>VLOOKUP($N755,'2 CODIFICATION'!$G$5:$L$71,4,FALSE)</f>
        <v>chges</v>
      </c>
      <c r="S755" s="271">
        <f>VLOOKUP($N755,'2 CODIFICATION'!$G$5:$L$71,5,FALSE)</f>
        <v>60</v>
      </c>
      <c r="T755" s="270" t="str">
        <f>VLOOKUP($N755,'2 CODIFICATION'!$G$5:$L$71,6,FALSE)</f>
        <v>Achat</v>
      </c>
    </row>
    <row r="756" spans="1:20" s="78" customFormat="1" hidden="1">
      <c r="A756" s="78" t="s">
        <v>875</v>
      </c>
      <c r="B756" s="427" t="s">
        <v>79</v>
      </c>
      <c r="D756" s="1047">
        <v>45382</v>
      </c>
      <c r="E756" s="1048" t="s">
        <v>775</v>
      </c>
      <c r="F756" s="1055"/>
      <c r="G756" s="1049">
        <v>300</v>
      </c>
      <c r="H756" s="1049"/>
      <c r="I756" s="471">
        <f t="shared" si="86"/>
        <v>8324.9980000000014</v>
      </c>
      <c r="J756" s="1050" t="s">
        <v>273</v>
      </c>
      <c r="K756" s="84">
        <f t="shared" si="83"/>
        <v>7770</v>
      </c>
      <c r="L756" s="84" t="str">
        <f>VLOOKUP($J756,'2 CODIFICATION'!A$5:B$21,2,"FAUX")</f>
        <v>ADMINIST ET FONCT</v>
      </c>
      <c r="M756" s="84" t="str">
        <f>VLOOKUP($K756,'2 CODIFICATION'!D$8:E$64,2,"FAUX")</f>
        <v>Produits exceptionnels</v>
      </c>
      <c r="N756" s="84">
        <v>777000</v>
      </c>
      <c r="O756" s="206">
        <f t="shared" si="84"/>
        <v>300</v>
      </c>
      <c r="P756" s="74">
        <f t="shared" si="85"/>
        <v>2024</v>
      </c>
      <c r="Q756" s="270" t="str">
        <f>VLOOKUP($N756,'2 CODIFICATION'!$G$5:$L$71,3,FALSE)</f>
        <v>Produits exceptionnels</v>
      </c>
      <c r="R756" s="271" t="str">
        <f>VLOOKUP($N756,'2 CODIFICATION'!$G$5:$L$71,4,FALSE)</f>
        <v>pdts</v>
      </c>
      <c r="S756" s="271">
        <f>VLOOKUP($N756,'2 CODIFICATION'!$G$5:$L$71,5,FALSE)</f>
        <v>77</v>
      </c>
      <c r="T756" s="270" t="str">
        <f>VLOOKUP($N756,'2 CODIFICATION'!$G$5:$L$71,6,FALSE)</f>
        <v>Produits exceptionnels</v>
      </c>
    </row>
    <row r="757" spans="1:20" s="78" customFormat="1" hidden="1">
      <c r="A757" s="78" t="s">
        <v>875</v>
      </c>
      <c r="B757" s="427" t="s">
        <v>79</v>
      </c>
      <c r="D757" s="1047">
        <v>45473</v>
      </c>
      <c r="E757" s="1048" t="s">
        <v>775</v>
      </c>
      <c r="F757" s="1055"/>
      <c r="G757" s="1049">
        <v>300</v>
      </c>
      <c r="H757" s="1049"/>
      <c r="I757" s="471">
        <f t="shared" si="86"/>
        <v>8624.9980000000014</v>
      </c>
      <c r="J757" s="1050" t="s">
        <v>273</v>
      </c>
      <c r="K757" s="84">
        <f t="shared" si="83"/>
        <v>7770</v>
      </c>
      <c r="L757" s="84" t="str">
        <f>VLOOKUP($J757,'2 CODIFICATION'!A$5:B$21,2,"FAUX")</f>
        <v>ADMINIST ET FONCT</v>
      </c>
      <c r="M757" s="84" t="str">
        <f>VLOOKUP($K757,'2 CODIFICATION'!D$8:E$64,2,"FAUX")</f>
        <v>Produits exceptionnels</v>
      </c>
      <c r="N757" s="84">
        <v>777000</v>
      </c>
      <c r="O757" s="206">
        <f t="shared" si="84"/>
        <v>300</v>
      </c>
      <c r="P757" s="74">
        <f t="shared" si="85"/>
        <v>2024</v>
      </c>
      <c r="Q757" s="270" t="str">
        <f>VLOOKUP($N757,'2 CODIFICATION'!$G$5:$L$71,3,FALSE)</f>
        <v>Produits exceptionnels</v>
      </c>
      <c r="R757" s="271" t="str">
        <f>VLOOKUP($N757,'2 CODIFICATION'!$G$5:$L$71,4,FALSE)</f>
        <v>pdts</v>
      </c>
      <c r="S757" s="271">
        <f>VLOOKUP($N757,'2 CODIFICATION'!$G$5:$L$71,5,FALSE)</f>
        <v>77</v>
      </c>
      <c r="T757" s="270" t="str">
        <f>VLOOKUP($N757,'2 CODIFICATION'!$G$5:$L$71,6,FALSE)</f>
        <v>Produits exceptionnels</v>
      </c>
    </row>
    <row r="758" spans="1:20" s="78" customFormat="1" hidden="1">
      <c r="A758" s="78" t="s">
        <v>875</v>
      </c>
      <c r="B758" s="427" t="s">
        <v>79</v>
      </c>
      <c r="D758" s="1047">
        <v>45565</v>
      </c>
      <c r="E758" s="1048" t="s">
        <v>775</v>
      </c>
      <c r="F758" s="1055"/>
      <c r="G758" s="1049">
        <v>300</v>
      </c>
      <c r="H758" s="1049"/>
      <c r="I758" s="471">
        <f t="shared" si="86"/>
        <v>8924.9980000000014</v>
      </c>
      <c r="J758" s="1050" t="s">
        <v>273</v>
      </c>
      <c r="K758" s="84">
        <f t="shared" si="83"/>
        <v>7770</v>
      </c>
      <c r="L758" s="84" t="str">
        <f>VLOOKUP($J758,'2 CODIFICATION'!A$5:B$21,2,"FAUX")</f>
        <v>ADMINIST ET FONCT</v>
      </c>
      <c r="M758" s="84" t="str">
        <f>VLOOKUP($K758,'2 CODIFICATION'!D$8:E$64,2,"FAUX")</f>
        <v>Produits exceptionnels</v>
      </c>
      <c r="N758" s="84">
        <v>777000</v>
      </c>
      <c r="O758" s="206">
        <f t="shared" si="84"/>
        <v>300</v>
      </c>
      <c r="P758" s="74">
        <f t="shared" si="85"/>
        <v>2024</v>
      </c>
      <c r="Q758" s="270" t="str">
        <f>VLOOKUP($N758,'2 CODIFICATION'!$G$5:$L$71,3,FALSE)</f>
        <v>Produits exceptionnels</v>
      </c>
      <c r="R758" s="271" t="str">
        <f>VLOOKUP($N758,'2 CODIFICATION'!$G$5:$L$71,4,FALSE)</f>
        <v>pdts</v>
      </c>
      <c r="S758" s="271">
        <f>VLOOKUP($N758,'2 CODIFICATION'!$G$5:$L$71,5,FALSE)</f>
        <v>77</v>
      </c>
      <c r="T758" s="270" t="str">
        <f>VLOOKUP($N758,'2 CODIFICATION'!$G$5:$L$71,6,FALSE)</f>
        <v>Produits exceptionnels</v>
      </c>
    </row>
    <row r="759" spans="1:20" s="78" customFormat="1" hidden="1">
      <c r="A759" s="78" t="s">
        <v>875</v>
      </c>
      <c r="B759" s="427" t="s">
        <v>79</v>
      </c>
      <c r="D759" s="1047">
        <v>45657</v>
      </c>
      <c r="E759" s="1048" t="s">
        <v>775</v>
      </c>
      <c r="F759" s="1055"/>
      <c r="G759" s="1049">
        <v>300</v>
      </c>
      <c r="H759" s="1049"/>
      <c r="I759" s="471">
        <f t="shared" si="86"/>
        <v>9224.9980000000014</v>
      </c>
      <c r="J759" s="1050" t="s">
        <v>273</v>
      </c>
      <c r="K759" s="84">
        <f t="shared" si="83"/>
        <v>7770</v>
      </c>
      <c r="L759" s="84" t="str">
        <f>VLOOKUP($J759,'2 CODIFICATION'!A$5:B$21,2,"FAUX")</f>
        <v>ADMINIST ET FONCT</v>
      </c>
      <c r="M759" s="84" t="str">
        <f>VLOOKUP($K759,'2 CODIFICATION'!D$8:E$64,2,"FAUX")</f>
        <v>Produits exceptionnels</v>
      </c>
      <c r="N759" s="84">
        <v>777000</v>
      </c>
      <c r="O759" s="206">
        <f t="shared" si="84"/>
        <v>300</v>
      </c>
      <c r="P759" s="74">
        <f t="shared" si="85"/>
        <v>2024</v>
      </c>
      <c r="Q759" s="270" t="str">
        <f>VLOOKUP($N759,'2 CODIFICATION'!$G$5:$L$71,3,FALSE)</f>
        <v>Produits exceptionnels</v>
      </c>
      <c r="R759" s="271" t="str">
        <f>VLOOKUP($N759,'2 CODIFICATION'!$G$5:$L$71,4,FALSE)</f>
        <v>pdts</v>
      </c>
      <c r="S759" s="271">
        <f>VLOOKUP($N759,'2 CODIFICATION'!$G$5:$L$71,5,FALSE)</f>
        <v>77</v>
      </c>
      <c r="T759" s="270" t="str">
        <f>VLOOKUP($N759,'2 CODIFICATION'!$G$5:$L$71,6,FALSE)</f>
        <v>Produits exceptionnels</v>
      </c>
    </row>
    <row r="760" spans="1:20" s="78" customFormat="1" ht="15" hidden="1" customHeight="1">
      <c r="A760" s="78" t="s">
        <v>875</v>
      </c>
      <c r="B760" s="78" t="s">
        <v>79</v>
      </c>
      <c r="C760" s="79"/>
      <c r="D760" s="80">
        <v>45292</v>
      </c>
      <c r="E760" s="79" t="s">
        <v>162</v>
      </c>
      <c r="F760" s="147"/>
      <c r="G760" s="1057">
        <v>-3305.2339999999967</v>
      </c>
      <c r="H760" s="82"/>
      <c r="I760" s="471">
        <f t="shared" ref="I760:I768" si="87">I759+G760-H760</f>
        <v>5919.7640000000047</v>
      </c>
      <c r="J760" s="84" t="s">
        <v>527</v>
      </c>
      <c r="K760" s="84">
        <v>5120</v>
      </c>
      <c r="L760" s="84" t="str">
        <f>VLOOKUP($J760,'2 CODIFICATION'!A$5:B$21,2,"FAUX")</f>
        <v>TOILETTES ECOSAN</v>
      </c>
      <c r="M760" s="84" t="str">
        <f>VLOOKUP($K760,'2 CODIFICATION'!D$8:E$64,2,"FAUX")</f>
        <v>Banque</v>
      </c>
      <c r="N760" s="84">
        <f t="shared" ref="N760:N768" si="88">+K760*100</f>
        <v>512000</v>
      </c>
      <c r="O760" s="82">
        <f t="shared" si="84"/>
        <v>-3305.2339999999967</v>
      </c>
      <c r="P760" s="84">
        <f t="shared" si="85"/>
        <v>2024</v>
      </c>
      <c r="Q760" s="1045" t="str">
        <f>VLOOKUP($N760,'2 CODIFICATION'!$G$5:$L$71,3,FALSE)</f>
        <v>Banque</v>
      </c>
      <c r="R760" s="1046" t="str">
        <f>VLOOKUP($N760,'2 CODIFICATION'!$G$5:$L$71,4,FALSE)</f>
        <v>bilan</v>
      </c>
      <c r="S760" s="1046">
        <f>VLOOKUP($N760,'2 CODIFICATION'!$G$5:$L$71,5,FALSE)</f>
        <v>50</v>
      </c>
      <c r="T760" s="1045" t="str">
        <f>VLOOKUP($N760,'2 CODIFICATION'!$G$5:$L$71,6,FALSE)</f>
        <v>Trésorerie</v>
      </c>
    </row>
    <row r="761" spans="1:20" s="78" customFormat="1" ht="15.5" hidden="1" customHeight="1">
      <c r="A761" s="78" t="s">
        <v>875</v>
      </c>
      <c r="B761" s="427">
        <v>2024</v>
      </c>
      <c r="C761" s="1058"/>
      <c r="D761" s="1059">
        <v>45657</v>
      </c>
      <c r="E761" s="1060" t="s">
        <v>577</v>
      </c>
      <c r="G761" s="1057">
        <v>15000</v>
      </c>
      <c r="H761" s="1057"/>
      <c r="I761" s="471">
        <f t="shared" si="87"/>
        <v>20919.764000000003</v>
      </c>
      <c r="J761" s="1061" t="s">
        <v>527</v>
      </c>
      <c r="K761" s="725">
        <v>7410</v>
      </c>
      <c r="L761" s="84" t="str">
        <f>VLOOKUP($J761,'2 CODIFICATION'!A$5:B$21,2,"FAUX")</f>
        <v>TOILETTES ECOSAN</v>
      </c>
      <c r="M761" s="84" t="str">
        <f>VLOOKUP($K761,'2 CODIFICATION'!D$8:E$64,2,"FAUX")</f>
        <v>Subventions Région Nouvelle Aquitaine</v>
      </c>
      <c r="N761" s="85">
        <f t="shared" si="88"/>
        <v>741000</v>
      </c>
      <c r="O761" s="82">
        <f t="shared" si="84"/>
        <v>15000</v>
      </c>
      <c r="P761" s="84">
        <f t="shared" si="85"/>
        <v>2024</v>
      </c>
      <c r="Q761" s="1045" t="str">
        <f>VLOOKUP($N761,'2 CODIFICATION'!$G$5:$L$71,3,FALSE)</f>
        <v>Région Nouvelle-Aquitaine</v>
      </c>
      <c r="R761" s="1046" t="str">
        <f>VLOOKUP($N761,'2 CODIFICATION'!$G$5:$L$71,4,FALSE)</f>
        <v>pdts</v>
      </c>
      <c r="S761" s="1046">
        <f>VLOOKUP($N761,'2 CODIFICATION'!$G$5:$L$71,5,FALSE)</f>
        <v>74</v>
      </c>
      <c r="T761" s="1045" t="str">
        <f>VLOOKUP($N761,'2 CODIFICATION'!$G$5:$L$71,6,FALSE)</f>
        <v>Subventions d'exploitation</v>
      </c>
    </row>
    <row r="762" spans="1:20" s="78" customFormat="1" ht="15.5" hidden="1" customHeight="1">
      <c r="A762" s="78" t="s">
        <v>875</v>
      </c>
      <c r="B762" s="427" t="s">
        <v>79</v>
      </c>
      <c r="C762" s="1058"/>
      <c r="D762" s="1059">
        <v>45657</v>
      </c>
      <c r="E762" s="1060" t="s">
        <v>578</v>
      </c>
      <c r="G762" s="1057">
        <v>3333</v>
      </c>
      <c r="H762" s="1057"/>
      <c r="I762" s="471">
        <f t="shared" si="87"/>
        <v>24252.764000000003</v>
      </c>
      <c r="J762" s="1061" t="s">
        <v>527</v>
      </c>
      <c r="K762" s="725">
        <v>7420</v>
      </c>
      <c r="L762" s="84" t="str">
        <f>VLOOKUP($J762,'2 CODIFICATION'!A$5:B$21,2,"FAUX")</f>
        <v>TOILETTES ECOSAN</v>
      </c>
      <c r="M762" s="84" t="str">
        <f>VLOOKUP($K762,'2 CODIFICATION'!D$8:E$64,2,"FAUX")</f>
        <v>Subvention Agence Micro Projet</v>
      </c>
      <c r="N762" s="85">
        <f t="shared" si="88"/>
        <v>742000</v>
      </c>
      <c r="O762" s="82">
        <f t="shared" si="84"/>
        <v>3333</v>
      </c>
      <c r="P762" s="84">
        <f t="shared" si="85"/>
        <v>2024</v>
      </c>
      <c r="Q762" s="1045" t="str">
        <f>VLOOKUP($N762,'2 CODIFICATION'!$G$5:$L$71,3,FALSE)</f>
        <v>AMP-GRATITUDE</v>
      </c>
      <c r="R762" s="1046" t="str">
        <f>VLOOKUP($N762,'2 CODIFICATION'!$G$5:$L$71,4,FALSE)</f>
        <v>pdts</v>
      </c>
      <c r="S762" s="1046">
        <f>VLOOKUP($N762,'2 CODIFICATION'!$G$5:$L$71,5,FALSE)</f>
        <v>74</v>
      </c>
      <c r="T762" s="1045" t="str">
        <f>VLOOKUP($N762,'2 CODIFICATION'!$G$5:$L$71,6,FALSE)</f>
        <v>Subventions d'exploitation</v>
      </c>
    </row>
    <row r="763" spans="1:20" s="78" customFormat="1" ht="15.5" hidden="1" customHeight="1">
      <c r="A763" s="78" t="s">
        <v>875</v>
      </c>
      <c r="B763" s="427" t="s">
        <v>79</v>
      </c>
      <c r="C763" s="1058"/>
      <c r="D763" s="1059">
        <v>45657</v>
      </c>
      <c r="E763" s="1060" t="s">
        <v>579</v>
      </c>
      <c r="G763" s="1057">
        <v>16344.199999999997</v>
      </c>
      <c r="H763" s="1057"/>
      <c r="I763" s="471">
        <f t="shared" si="87"/>
        <v>40596.964</v>
      </c>
      <c r="J763" s="1061" t="s">
        <v>527</v>
      </c>
      <c r="K763" s="725">
        <v>7430</v>
      </c>
      <c r="L763" s="84" t="str">
        <f>VLOOKUP($J763,'2 CODIFICATION'!A$5:B$21,2,"FAUX")</f>
        <v>TOILETTES ECOSAN</v>
      </c>
      <c r="M763" s="84" t="str">
        <f>VLOOKUP($K763,'2 CODIFICATION'!D$8:E$64,2,"FAUX")</f>
        <v>Subvention Agence Adour Garonne</v>
      </c>
      <c r="N763" s="85">
        <f t="shared" si="88"/>
        <v>743000</v>
      </c>
      <c r="O763" s="82">
        <f t="shared" si="84"/>
        <v>16344.199999999997</v>
      </c>
      <c r="P763" s="84">
        <f t="shared" si="85"/>
        <v>2024</v>
      </c>
      <c r="Q763" s="1045" t="str">
        <f>VLOOKUP($N763,'2 CODIFICATION'!$G$5:$L$71,3,FALSE)</f>
        <v>subvention Agence Adour Garonne</v>
      </c>
      <c r="R763" s="1046" t="str">
        <f>VLOOKUP($N763,'2 CODIFICATION'!$G$5:$L$71,4,FALSE)</f>
        <v>pdts</v>
      </c>
      <c r="S763" s="1046">
        <f>VLOOKUP($N763,'2 CODIFICATION'!$G$5:$L$71,5,FALSE)</f>
        <v>74</v>
      </c>
      <c r="T763" s="1045" t="str">
        <f>VLOOKUP($N763,'2 CODIFICATION'!$G$5:$L$71,6,FALSE)</f>
        <v>Subventions d'exploitation</v>
      </c>
    </row>
    <row r="764" spans="1:20" s="78" customFormat="1" ht="15.5" hidden="1" customHeight="1">
      <c r="A764" s="78" t="s">
        <v>875</v>
      </c>
      <c r="B764" s="427" t="s">
        <v>79</v>
      </c>
      <c r="C764" s="1058"/>
      <c r="D764" s="1059">
        <v>45657</v>
      </c>
      <c r="E764" s="1060" t="s">
        <v>60</v>
      </c>
      <c r="G764" s="1057"/>
      <c r="H764" s="1057"/>
      <c r="I764" s="471">
        <f t="shared" si="87"/>
        <v>40596.964</v>
      </c>
      <c r="J764" s="1061" t="s">
        <v>527</v>
      </c>
      <c r="K764" s="725">
        <v>7770</v>
      </c>
      <c r="L764" s="84" t="str">
        <f>VLOOKUP($J764,'2 CODIFICATION'!A$5:B$21,2,"FAUX")</f>
        <v>TOILETTES ECOSAN</v>
      </c>
      <c r="M764" s="84" t="str">
        <f>VLOOKUP($K764,'2 CODIFICATION'!D$8:E$64,2,"FAUX")</f>
        <v>Produits exceptionnels</v>
      </c>
      <c r="N764" s="85">
        <f t="shared" si="88"/>
        <v>777000</v>
      </c>
      <c r="O764" s="82">
        <f t="shared" si="84"/>
        <v>0</v>
      </c>
      <c r="P764" s="84">
        <f t="shared" si="85"/>
        <v>2024</v>
      </c>
      <c r="Q764" s="1045" t="str">
        <f>VLOOKUP($N764,'2 CODIFICATION'!$G$5:$L$71,3,FALSE)</f>
        <v>Produits exceptionnels</v>
      </c>
      <c r="R764" s="1046" t="str">
        <f>VLOOKUP($N764,'2 CODIFICATION'!$G$5:$L$71,4,FALSE)</f>
        <v>pdts</v>
      </c>
      <c r="S764" s="1046">
        <f>VLOOKUP($N764,'2 CODIFICATION'!$G$5:$L$71,5,FALSE)</f>
        <v>77</v>
      </c>
      <c r="T764" s="1045" t="str">
        <f>VLOOKUP($N764,'2 CODIFICATION'!$G$5:$L$71,6,FALSE)</f>
        <v>Produits exceptionnels</v>
      </c>
    </row>
    <row r="765" spans="1:20" s="78" customFormat="1" ht="15.5" hidden="1" customHeight="1">
      <c r="A765" s="78" t="s">
        <v>875</v>
      </c>
      <c r="B765" s="427" t="s">
        <v>79</v>
      </c>
      <c r="C765" s="1058"/>
      <c r="D765" s="1059">
        <v>45657</v>
      </c>
      <c r="E765" s="1060" t="s">
        <v>396</v>
      </c>
      <c r="G765" s="1062"/>
      <c r="H765" s="1057">
        <v>28576</v>
      </c>
      <c r="I765" s="471">
        <f t="shared" si="87"/>
        <v>12020.964</v>
      </c>
      <c r="J765" s="1061" t="s">
        <v>527</v>
      </c>
      <c r="K765" s="725">
        <v>6110</v>
      </c>
      <c r="L765" s="84" t="str">
        <f>VLOOKUP($J765,'2 CODIFICATION'!A$5:B$21,2,"FAUX")</f>
        <v>TOILETTES ECOSAN</v>
      </c>
      <c r="M765" s="84" t="str">
        <f>VLOOKUP($K765,'2 CODIFICATION'!D$8:E$64,2,"FAUX")</f>
        <v>Sous traitance projet</v>
      </c>
      <c r="N765" s="85">
        <f t="shared" si="88"/>
        <v>611000</v>
      </c>
      <c r="O765" s="82">
        <f t="shared" si="84"/>
        <v>-28576</v>
      </c>
      <c r="P765" s="84">
        <f t="shared" si="85"/>
        <v>2024</v>
      </c>
      <c r="Q765" s="1045" t="str">
        <f>VLOOKUP($N765,'2 CODIFICATION'!$G$5:$L$71,3,FALSE)</f>
        <v xml:space="preserve">Sous-traitance générale </v>
      </c>
      <c r="R765" s="1046" t="str">
        <f>VLOOKUP($N765,'2 CODIFICATION'!$G$5:$L$71,4,FALSE)</f>
        <v>chges</v>
      </c>
      <c r="S765" s="1046">
        <f>VLOOKUP($N765,'2 CODIFICATION'!$G$5:$L$71,5,FALSE)</f>
        <v>61</v>
      </c>
      <c r="T765" s="1045" t="str">
        <f>VLOOKUP($N765,'2 CODIFICATION'!$G$5:$L$71,6,FALSE)</f>
        <v>Services extérieurs</v>
      </c>
    </row>
    <row r="766" spans="1:20" s="78" customFormat="1" ht="15.5" hidden="1" customHeight="1">
      <c r="A766" s="78" t="s">
        <v>875</v>
      </c>
      <c r="B766" s="427" t="s">
        <v>79</v>
      </c>
      <c r="C766" s="1058"/>
      <c r="D766" s="1059">
        <v>45657</v>
      </c>
      <c r="E766" s="1060" t="s">
        <v>409</v>
      </c>
      <c r="G766" s="1062"/>
      <c r="H766" s="1063">
        <v>1333.626</v>
      </c>
      <c r="I766" s="471">
        <f t="shared" si="87"/>
        <v>10687.338</v>
      </c>
      <c r="J766" s="1061" t="s">
        <v>527</v>
      </c>
      <c r="K766" s="725">
        <v>6230</v>
      </c>
      <c r="L766" s="84" t="str">
        <f>VLOOKUP($J766,'2 CODIFICATION'!A$5:B$21,2,"FAUX")</f>
        <v>TOILETTES ECOSAN</v>
      </c>
      <c r="M766" s="84" t="str">
        <f>VLOOKUP($K766,'2 CODIFICATION'!D$8:E$64,2,"FAUX")</f>
        <v>communication</v>
      </c>
      <c r="N766" s="85">
        <f t="shared" si="88"/>
        <v>623000</v>
      </c>
      <c r="O766" s="82">
        <f t="shared" si="84"/>
        <v>-1333.626</v>
      </c>
      <c r="P766" s="84">
        <f t="shared" si="85"/>
        <v>2024</v>
      </c>
      <c r="Q766" s="1045" t="str">
        <f>VLOOKUP($N766,'2 CODIFICATION'!$G$5:$L$71,3,FALSE)</f>
        <v>Publicité, publications, Création de site web</v>
      </c>
      <c r="R766" s="1046" t="str">
        <f>VLOOKUP($N766,'2 CODIFICATION'!$G$5:$L$71,4,FALSE)</f>
        <v>chges</v>
      </c>
      <c r="S766" s="1046">
        <f>VLOOKUP($N766,'2 CODIFICATION'!$G$5:$L$71,5,FALSE)</f>
        <v>62</v>
      </c>
      <c r="T766" s="1045" t="str">
        <f>VLOOKUP($N766,'2 CODIFICATION'!$G$5:$L$71,6,FALSE)</f>
        <v>Autres services extérieurs</v>
      </c>
    </row>
    <row r="767" spans="1:20" s="78" customFormat="1" ht="15.5" hidden="1" customHeight="1">
      <c r="A767" s="78" t="s">
        <v>875</v>
      </c>
      <c r="B767" s="427" t="s">
        <v>79</v>
      </c>
      <c r="C767" s="1058"/>
      <c r="D767" s="1059">
        <v>45657</v>
      </c>
      <c r="E767" s="1060" t="s">
        <v>313</v>
      </c>
      <c r="G767" s="1062"/>
      <c r="H767" s="1057">
        <v>5583.14</v>
      </c>
      <c r="I767" s="471">
        <f t="shared" si="87"/>
        <v>5104.1979999999994</v>
      </c>
      <c r="J767" s="1061" t="s">
        <v>527</v>
      </c>
      <c r="K767" s="725">
        <v>6250</v>
      </c>
      <c r="L767" s="84" t="str">
        <f>VLOOKUP($J767,'2 CODIFICATION'!A$5:B$21,2,"FAUX")</f>
        <v>TOILETTES ECOSAN</v>
      </c>
      <c r="M767" s="84" t="str">
        <f>VLOOKUP($K767,'2 CODIFICATION'!D$8:E$64,2,"FAUX")</f>
        <v>déplacements</v>
      </c>
      <c r="N767" s="85">
        <f t="shared" si="88"/>
        <v>625000</v>
      </c>
      <c r="O767" s="82">
        <f t="shared" si="84"/>
        <v>-5583.14</v>
      </c>
      <c r="P767" s="84">
        <f t="shared" si="85"/>
        <v>2024</v>
      </c>
      <c r="Q767" s="1045" t="str">
        <f>VLOOKUP($N767,'2 CODIFICATION'!$G$5:$L$71,3,FALSE)</f>
        <v>Déplacements, missions et réceptions</v>
      </c>
      <c r="R767" s="1046" t="str">
        <f>VLOOKUP($N767,'2 CODIFICATION'!$G$5:$L$71,4,FALSE)</f>
        <v>chges</v>
      </c>
      <c r="S767" s="1046">
        <f>VLOOKUP($N767,'2 CODIFICATION'!$G$5:$L$71,5,FALSE)</f>
        <v>62</v>
      </c>
      <c r="T767" s="1045" t="str">
        <f>VLOOKUP($N767,'2 CODIFICATION'!$G$5:$L$71,6,FALSE)</f>
        <v>Autres services extérieurs</v>
      </c>
    </row>
    <row r="768" spans="1:20" s="78" customFormat="1" ht="15.5" hidden="1" customHeight="1">
      <c r="A768" s="78" t="s">
        <v>875</v>
      </c>
      <c r="B768" s="427" t="s">
        <v>79</v>
      </c>
      <c r="C768" s="1058"/>
      <c r="D768" s="1059">
        <v>45657</v>
      </c>
      <c r="E768" s="1060" t="s">
        <v>280</v>
      </c>
      <c r="G768" s="1062"/>
      <c r="H768" s="1057">
        <v>1379.2</v>
      </c>
      <c r="I768" s="471">
        <f t="shared" si="87"/>
        <v>3724.9979999999996</v>
      </c>
      <c r="J768" s="1061" t="s">
        <v>527</v>
      </c>
      <c r="K768" s="725">
        <v>6261</v>
      </c>
      <c r="L768" s="84" t="str">
        <f>VLOOKUP($J768,'2 CODIFICATION'!A$5:B$21,2,"FAUX")</f>
        <v>TOILETTES ECOSAN</v>
      </c>
      <c r="M768" s="84" t="str">
        <f>VLOOKUP($K768,'2 CODIFICATION'!D$8:E$64,2,"FAUX")</f>
        <v>Frais d'envoi</v>
      </c>
      <c r="N768" s="85">
        <f t="shared" si="88"/>
        <v>626100</v>
      </c>
      <c r="O768" s="82">
        <f t="shared" si="84"/>
        <v>-1379.2</v>
      </c>
      <c r="P768" s="84">
        <f t="shared" si="85"/>
        <v>2024</v>
      </c>
      <c r="Q768" s="1045" t="str">
        <f>VLOOKUP($N768,'2 CODIFICATION'!$G$5:$L$71,3,FALSE)</f>
        <v>Frais postaux</v>
      </c>
      <c r="R768" s="1046" t="str">
        <f>VLOOKUP($N768,'2 CODIFICATION'!$G$5:$L$71,4,FALSE)</f>
        <v>chges</v>
      </c>
      <c r="S768" s="1046">
        <f>VLOOKUP($N768,'2 CODIFICATION'!$G$5:$L$71,5,FALSE)</f>
        <v>62</v>
      </c>
      <c r="T768" s="1045" t="str">
        <f>VLOOKUP($N768,'2 CODIFICATION'!$G$5:$L$71,6,FALSE)</f>
        <v>Autres services extérieurs</v>
      </c>
    </row>
    <row r="769" spans="1:23" s="78" customFormat="1" ht="26" hidden="1" collapsed="1">
      <c r="A769" s="78" t="s">
        <v>875</v>
      </c>
      <c r="B769" s="78" t="s">
        <v>79</v>
      </c>
      <c r="D769" s="1078">
        <v>45657</v>
      </c>
      <c r="E769" s="1079" t="s">
        <v>733</v>
      </c>
      <c r="F769" s="1079"/>
      <c r="G769" s="1080"/>
      <c r="H769" s="1065">
        <v>525</v>
      </c>
      <c r="I769" s="1081">
        <f>+G769-H769</f>
        <v>-525</v>
      </c>
      <c r="J769" s="84" t="s">
        <v>760</v>
      </c>
      <c r="K769" s="84">
        <v>6110</v>
      </c>
      <c r="L769" s="84" t="s">
        <v>761</v>
      </c>
      <c r="M769" s="84" t="s">
        <v>396</v>
      </c>
      <c r="N769" s="84">
        <v>611000</v>
      </c>
      <c r="O769" s="1082">
        <f t="shared" ref="O769:O800" si="89">+G769-H769</f>
        <v>-525</v>
      </c>
      <c r="P769" s="84">
        <v>2024</v>
      </c>
      <c r="Q769" s="1045" t="s">
        <v>71</v>
      </c>
      <c r="R769" s="1046" t="s">
        <v>157</v>
      </c>
      <c r="S769" s="1046">
        <v>61</v>
      </c>
      <c r="T769" s="1045" t="s">
        <v>37</v>
      </c>
    </row>
    <row r="770" spans="1:23" s="78" customFormat="1" ht="26" hidden="1">
      <c r="A770" s="78" t="s">
        <v>875</v>
      </c>
      <c r="B770" s="78" t="s">
        <v>79</v>
      </c>
      <c r="D770" s="1078">
        <v>45657</v>
      </c>
      <c r="E770" s="1083" t="s">
        <v>735</v>
      </c>
      <c r="F770" s="1083"/>
      <c r="G770" s="1084"/>
      <c r="H770" s="1065">
        <v>875</v>
      </c>
      <c r="I770" s="1085">
        <f t="shared" ref="I770:I800" si="90">I769+G770-H770</f>
        <v>-1400</v>
      </c>
      <c r="J770" s="84" t="s">
        <v>760</v>
      </c>
      <c r="K770" s="84">
        <v>6110</v>
      </c>
      <c r="L770" s="84" t="s">
        <v>761</v>
      </c>
      <c r="M770" s="84" t="s">
        <v>396</v>
      </c>
      <c r="N770" s="84">
        <v>611000</v>
      </c>
      <c r="O770" s="1086">
        <f t="shared" si="89"/>
        <v>-875</v>
      </c>
      <c r="P770" s="84">
        <v>2024</v>
      </c>
      <c r="Q770" s="1045" t="s">
        <v>71</v>
      </c>
      <c r="R770" s="1046" t="s">
        <v>157</v>
      </c>
      <c r="S770" s="1046">
        <v>61</v>
      </c>
      <c r="T770" s="1045" t="s">
        <v>37</v>
      </c>
    </row>
    <row r="771" spans="1:23" s="78" customFormat="1" ht="26" hidden="1">
      <c r="A771" s="78" t="s">
        <v>875</v>
      </c>
      <c r="B771" s="78" t="s">
        <v>79</v>
      </c>
      <c r="D771" s="1078">
        <v>45657</v>
      </c>
      <c r="E771" s="1087" t="s">
        <v>736</v>
      </c>
      <c r="F771" s="1087"/>
      <c r="G771" s="1088"/>
      <c r="H771" s="1065">
        <v>500</v>
      </c>
      <c r="I771" s="1089">
        <f t="shared" si="90"/>
        <v>-1900</v>
      </c>
      <c r="J771" s="84" t="s">
        <v>760</v>
      </c>
      <c r="K771" s="84">
        <v>6110</v>
      </c>
      <c r="L771" s="84" t="s">
        <v>761</v>
      </c>
      <c r="M771" s="84" t="s">
        <v>396</v>
      </c>
      <c r="N771" s="84">
        <v>611000</v>
      </c>
      <c r="O771" s="1090">
        <f t="shared" si="89"/>
        <v>-500</v>
      </c>
      <c r="P771" s="84">
        <v>2024</v>
      </c>
      <c r="Q771" s="1045" t="s">
        <v>71</v>
      </c>
      <c r="R771" s="1046" t="s">
        <v>157</v>
      </c>
      <c r="S771" s="1046">
        <v>61</v>
      </c>
      <c r="T771" s="1045" t="s">
        <v>37</v>
      </c>
    </row>
    <row r="772" spans="1:23" s="78" customFormat="1" hidden="1">
      <c r="A772" s="78" t="s">
        <v>875</v>
      </c>
      <c r="B772" s="78" t="s">
        <v>79</v>
      </c>
      <c r="D772" s="1078">
        <v>45657</v>
      </c>
      <c r="E772" s="1091" t="s">
        <v>737</v>
      </c>
      <c r="F772" s="1091"/>
      <c r="G772" s="1092"/>
      <c r="H772" s="1065">
        <v>875</v>
      </c>
      <c r="I772" s="1089">
        <f t="shared" si="90"/>
        <v>-2775</v>
      </c>
      <c r="J772" s="84" t="s">
        <v>760</v>
      </c>
      <c r="K772" s="84">
        <v>6250</v>
      </c>
      <c r="L772" s="84" t="s">
        <v>761</v>
      </c>
      <c r="M772" s="84" t="s">
        <v>313</v>
      </c>
      <c r="N772" s="84">
        <v>625000</v>
      </c>
      <c r="O772" s="1090">
        <f t="shared" si="89"/>
        <v>-875</v>
      </c>
      <c r="P772" s="84">
        <v>2024</v>
      </c>
      <c r="Q772" s="1045" t="s">
        <v>48</v>
      </c>
      <c r="R772" s="1046" t="s">
        <v>157</v>
      </c>
      <c r="S772" s="1046">
        <v>62</v>
      </c>
      <c r="T772" s="1045" t="s">
        <v>43</v>
      </c>
    </row>
    <row r="773" spans="1:23" s="78" customFormat="1" hidden="1">
      <c r="A773" s="78" t="s">
        <v>875</v>
      </c>
      <c r="B773" s="78" t="s">
        <v>79</v>
      </c>
      <c r="D773" s="1078">
        <v>45657</v>
      </c>
      <c r="E773" s="1091" t="s">
        <v>738</v>
      </c>
      <c r="F773" s="1091"/>
      <c r="G773" s="1092"/>
      <c r="H773" s="1065">
        <v>250</v>
      </c>
      <c r="I773" s="1089">
        <f t="shared" si="90"/>
        <v>-3025</v>
      </c>
      <c r="J773" s="84" t="s">
        <v>760</v>
      </c>
      <c r="K773" s="84">
        <v>6250</v>
      </c>
      <c r="L773" s="84" t="s">
        <v>761</v>
      </c>
      <c r="M773" s="84" t="s">
        <v>313</v>
      </c>
      <c r="N773" s="84">
        <v>625000</v>
      </c>
      <c r="O773" s="1090">
        <f t="shared" si="89"/>
        <v>-250</v>
      </c>
      <c r="P773" s="84">
        <v>2024</v>
      </c>
      <c r="Q773" s="1045" t="s">
        <v>48</v>
      </c>
      <c r="R773" s="1046" t="s">
        <v>157</v>
      </c>
      <c r="S773" s="1046">
        <v>62</v>
      </c>
      <c r="T773" s="1045" t="s">
        <v>43</v>
      </c>
    </row>
    <row r="774" spans="1:23" s="78" customFormat="1" hidden="1">
      <c r="A774" s="78" t="s">
        <v>875</v>
      </c>
      <c r="B774" s="78" t="s">
        <v>79</v>
      </c>
      <c r="D774" s="1078">
        <v>45657</v>
      </c>
      <c r="E774" s="1091" t="s">
        <v>739</v>
      </c>
      <c r="F774" s="1091"/>
      <c r="G774" s="1092"/>
      <c r="H774" s="1065">
        <v>250</v>
      </c>
      <c r="I774" s="1089">
        <f t="shared" si="90"/>
        <v>-3275</v>
      </c>
      <c r="J774" s="84" t="s">
        <v>760</v>
      </c>
      <c r="K774" s="84">
        <v>6250</v>
      </c>
      <c r="L774" s="84" t="s">
        <v>761</v>
      </c>
      <c r="M774" s="84" t="s">
        <v>313</v>
      </c>
      <c r="N774" s="84">
        <v>625000</v>
      </c>
      <c r="O774" s="1090">
        <f t="shared" si="89"/>
        <v>-250</v>
      </c>
      <c r="P774" s="84">
        <v>2024</v>
      </c>
      <c r="Q774" s="1045" t="s">
        <v>48</v>
      </c>
      <c r="R774" s="1046" t="s">
        <v>157</v>
      </c>
      <c r="S774" s="1046">
        <v>62</v>
      </c>
      <c r="T774" s="1045" t="s">
        <v>43</v>
      </c>
    </row>
    <row r="775" spans="1:23" s="78" customFormat="1" ht="25" hidden="1">
      <c r="A775" s="78" t="s">
        <v>875</v>
      </c>
      <c r="B775" s="78" t="s">
        <v>79</v>
      </c>
      <c r="D775" s="1078">
        <v>45657</v>
      </c>
      <c r="E775" s="1093" t="s">
        <v>764</v>
      </c>
      <c r="F775" s="1094"/>
      <c r="G775" s="1095"/>
      <c r="H775" s="1065">
        <v>8932.25</v>
      </c>
      <c r="I775" s="1089">
        <f t="shared" si="90"/>
        <v>-12207.25</v>
      </c>
      <c r="J775" s="84" t="s">
        <v>760</v>
      </c>
      <c r="K775" s="84">
        <v>6110</v>
      </c>
      <c r="L775" s="84" t="s">
        <v>761</v>
      </c>
      <c r="M775" s="84" t="s">
        <v>396</v>
      </c>
      <c r="N775" s="84">
        <v>611000</v>
      </c>
      <c r="O775" s="1090">
        <f t="shared" si="89"/>
        <v>-8932.25</v>
      </c>
      <c r="P775" s="84">
        <v>2024</v>
      </c>
      <c r="Q775" s="1045" t="s">
        <v>71</v>
      </c>
      <c r="R775" s="1046" t="s">
        <v>157</v>
      </c>
      <c r="S775" s="1046">
        <v>61</v>
      </c>
      <c r="T775" s="1045" t="s">
        <v>37</v>
      </c>
    </row>
    <row r="776" spans="1:23" s="78" customFormat="1" hidden="1">
      <c r="A776" s="78" t="s">
        <v>875</v>
      </c>
      <c r="B776" s="78" t="s">
        <v>79</v>
      </c>
      <c r="D776" s="1078">
        <v>45657</v>
      </c>
      <c r="E776" s="1096" t="s">
        <v>765</v>
      </c>
      <c r="F776" s="1097"/>
      <c r="G776" s="1098"/>
      <c r="H776" s="1065">
        <v>3795.5</v>
      </c>
      <c r="I776" s="1089">
        <f t="shared" si="90"/>
        <v>-16002.75</v>
      </c>
      <c r="J776" s="84" t="s">
        <v>760</v>
      </c>
      <c r="K776" s="84">
        <v>6110</v>
      </c>
      <c r="L776" s="84" t="s">
        <v>761</v>
      </c>
      <c r="M776" s="84" t="s">
        <v>396</v>
      </c>
      <c r="N776" s="84">
        <v>611000</v>
      </c>
      <c r="O776" s="1090">
        <f t="shared" si="89"/>
        <v>-3795.5</v>
      </c>
      <c r="P776" s="84">
        <v>2024</v>
      </c>
      <c r="Q776" s="1045" t="s">
        <v>71</v>
      </c>
      <c r="R776" s="1046" t="s">
        <v>157</v>
      </c>
      <c r="S776" s="1046">
        <v>61</v>
      </c>
      <c r="T776" s="1045" t="s">
        <v>37</v>
      </c>
    </row>
    <row r="777" spans="1:23" s="78" customFormat="1" ht="26" hidden="1">
      <c r="A777" s="78" t="s">
        <v>875</v>
      </c>
      <c r="B777" s="78" t="s">
        <v>79</v>
      </c>
      <c r="D777" s="1078">
        <v>45657</v>
      </c>
      <c r="E777" s="1099" t="s">
        <v>766</v>
      </c>
      <c r="F777" s="1099"/>
      <c r="G777" s="1100"/>
      <c r="H777" s="1065">
        <v>1628.5</v>
      </c>
      <c r="I777" s="1089">
        <f t="shared" si="90"/>
        <v>-17631.25</v>
      </c>
      <c r="J777" s="84" t="s">
        <v>760</v>
      </c>
      <c r="K777" s="84">
        <v>6110</v>
      </c>
      <c r="L777" s="84" t="s">
        <v>761</v>
      </c>
      <c r="M777" s="84" t="s">
        <v>396</v>
      </c>
      <c r="N777" s="84">
        <v>611000</v>
      </c>
      <c r="O777" s="1090">
        <f t="shared" si="89"/>
        <v>-1628.5</v>
      </c>
      <c r="P777" s="84">
        <v>2024</v>
      </c>
      <c r="Q777" s="1045" t="s">
        <v>71</v>
      </c>
      <c r="R777" s="1046" t="s">
        <v>157</v>
      </c>
      <c r="S777" s="1046">
        <v>61</v>
      </c>
      <c r="T777" s="1045" t="s">
        <v>37</v>
      </c>
    </row>
    <row r="778" spans="1:23" s="78" customFormat="1" hidden="1">
      <c r="A778" s="78" t="s">
        <v>875</v>
      </c>
      <c r="B778" s="78" t="s">
        <v>79</v>
      </c>
      <c r="D778" s="1078">
        <v>45657</v>
      </c>
      <c r="E778" s="1101" t="s">
        <v>740</v>
      </c>
      <c r="F778" s="1101"/>
      <c r="G778" s="1102"/>
      <c r="H778" s="1065">
        <v>306</v>
      </c>
      <c r="I778" s="1089">
        <f t="shared" si="90"/>
        <v>-17937.25</v>
      </c>
      <c r="J778" s="84" t="s">
        <v>760</v>
      </c>
      <c r="K778" s="84">
        <v>6110</v>
      </c>
      <c r="L778" s="84" t="s">
        <v>761</v>
      </c>
      <c r="M778" s="84" t="s">
        <v>396</v>
      </c>
      <c r="N778" s="84">
        <v>611000</v>
      </c>
      <c r="O778" s="1090">
        <f t="shared" si="89"/>
        <v>-306</v>
      </c>
      <c r="P778" s="84">
        <v>2024</v>
      </c>
      <c r="Q778" s="1045" t="s">
        <v>71</v>
      </c>
      <c r="R778" s="1046" t="s">
        <v>157</v>
      </c>
      <c r="S778" s="1046">
        <v>61</v>
      </c>
      <c r="T778" s="1045" t="s">
        <v>37</v>
      </c>
    </row>
    <row r="779" spans="1:23" s="78" customFormat="1" hidden="1">
      <c r="A779" s="78" t="s">
        <v>875</v>
      </c>
      <c r="B779" s="78" t="s">
        <v>79</v>
      </c>
      <c r="D779" s="1078">
        <v>45657</v>
      </c>
      <c r="E779" s="1103" t="s">
        <v>741</v>
      </c>
      <c r="F779" s="1104"/>
      <c r="G779" s="1105"/>
      <c r="H779" s="1065">
        <v>300</v>
      </c>
      <c r="I779" s="1089">
        <f t="shared" si="90"/>
        <v>-18237.25</v>
      </c>
      <c r="J779" s="84" t="s">
        <v>760</v>
      </c>
      <c r="K779" s="84">
        <v>6110</v>
      </c>
      <c r="L779" s="84" t="s">
        <v>761</v>
      </c>
      <c r="M779" s="84" t="s">
        <v>396</v>
      </c>
      <c r="N779" s="84">
        <v>611000</v>
      </c>
      <c r="O779" s="1090">
        <f t="shared" si="89"/>
        <v>-300</v>
      </c>
      <c r="P779" s="84">
        <v>2024</v>
      </c>
      <c r="Q779" s="1045" t="s">
        <v>71</v>
      </c>
      <c r="R779" s="1046" t="s">
        <v>157</v>
      </c>
      <c r="S779" s="1046">
        <v>61</v>
      </c>
      <c r="T779" s="1045" t="s">
        <v>37</v>
      </c>
    </row>
    <row r="780" spans="1:23" s="78" customFormat="1" hidden="1">
      <c r="A780" s="78" t="s">
        <v>875</v>
      </c>
      <c r="B780" s="78" t="s">
        <v>79</v>
      </c>
      <c r="D780" s="1078">
        <v>45657</v>
      </c>
      <c r="E780" s="1106" t="s">
        <v>742</v>
      </c>
      <c r="F780" s="1106"/>
      <c r="G780" s="1107"/>
      <c r="H780" s="1065">
        <v>400</v>
      </c>
      <c r="I780" s="1089">
        <f t="shared" si="90"/>
        <v>-18637.25</v>
      </c>
      <c r="J780" s="84" t="s">
        <v>760</v>
      </c>
      <c r="K780" s="84">
        <v>6110</v>
      </c>
      <c r="L780" s="84" t="s">
        <v>761</v>
      </c>
      <c r="M780" s="84" t="s">
        <v>396</v>
      </c>
      <c r="N780" s="84">
        <v>611000</v>
      </c>
      <c r="O780" s="1090">
        <f t="shared" si="89"/>
        <v>-400</v>
      </c>
      <c r="P780" s="84">
        <v>2024</v>
      </c>
      <c r="Q780" s="1045" t="s">
        <v>71</v>
      </c>
      <c r="R780" s="1046" t="s">
        <v>157</v>
      </c>
      <c r="S780" s="1046">
        <v>61</v>
      </c>
      <c r="T780" s="1045" t="s">
        <v>37</v>
      </c>
    </row>
    <row r="781" spans="1:23" s="78" customFormat="1" hidden="1">
      <c r="A781" s="78" t="s">
        <v>875</v>
      </c>
      <c r="B781" s="78" t="s">
        <v>79</v>
      </c>
      <c r="D781" s="1078">
        <v>45657</v>
      </c>
      <c r="E781" s="1091" t="s">
        <v>743</v>
      </c>
      <c r="F781" s="1091"/>
      <c r="G781" s="1092"/>
      <c r="H781" s="1065">
        <v>2750</v>
      </c>
      <c r="I781" s="1089">
        <f t="shared" si="90"/>
        <v>-21387.25</v>
      </c>
      <c r="J781" s="84" t="s">
        <v>760</v>
      </c>
      <c r="K781" s="84">
        <v>6110</v>
      </c>
      <c r="L781" s="84" t="s">
        <v>761</v>
      </c>
      <c r="M781" s="84" t="s">
        <v>396</v>
      </c>
      <c r="N781" s="84">
        <v>611000</v>
      </c>
      <c r="O781" s="1090">
        <f t="shared" si="89"/>
        <v>-2750</v>
      </c>
      <c r="P781" s="84">
        <v>2024</v>
      </c>
      <c r="Q781" s="1045" t="s">
        <v>71</v>
      </c>
      <c r="R781" s="1046" t="s">
        <v>157</v>
      </c>
      <c r="S781" s="1046">
        <v>61</v>
      </c>
      <c r="T781" s="1045" t="s">
        <v>37</v>
      </c>
    </row>
    <row r="782" spans="1:23" s="78" customFormat="1" ht="26" hidden="1">
      <c r="A782" s="78" t="s">
        <v>875</v>
      </c>
      <c r="B782" s="78" t="s">
        <v>79</v>
      </c>
      <c r="D782" s="1078">
        <v>45657</v>
      </c>
      <c r="E782" s="1087" t="s">
        <v>767</v>
      </c>
      <c r="F782" s="1108"/>
      <c r="G782" s="1109"/>
      <c r="H782" s="1065">
        <v>8275</v>
      </c>
      <c r="I782" s="1089">
        <f t="shared" si="90"/>
        <v>-29662.25</v>
      </c>
      <c r="J782" s="84" t="s">
        <v>760</v>
      </c>
      <c r="K782" s="84">
        <v>6110</v>
      </c>
      <c r="L782" s="84" t="s">
        <v>761</v>
      </c>
      <c r="M782" s="84" t="s">
        <v>396</v>
      </c>
      <c r="N782" s="84">
        <v>611000</v>
      </c>
      <c r="O782" s="1090">
        <f t="shared" si="89"/>
        <v>-8275</v>
      </c>
      <c r="P782" s="84">
        <v>2024</v>
      </c>
      <c r="Q782" s="1045" t="s">
        <v>71</v>
      </c>
      <c r="R782" s="1046" t="s">
        <v>157</v>
      </c>
      <c r="S782" s="1046">
        <v>61</v>
      </c>
      <c r="T782" s="1045" t="s">
        <v>37</v>
      </c>
    </row>
    <row r="783" spans="1:23" s="78" customFormat="1" ht="26" hidden="1">
      <c r="A783" s="78" t="s">
        <v>875</v>
      </c>
      <c r="B783" s="78" t="s">
        <v>79</v>
      </c>
      <c r="D783" s="1078">
        <v>45657</v>
      </c>
      <c r="E783" s="1096" t="s">
        <v>768</v>
      </c>
      <c r="F783" s="1097"/>
      <c r="G783" s="1098"/>
      <c r="H783" s="1065">
        <v>775</v>
      </c>
      <c r="I783" s="1089">
        <f t="shared" si="90"/>
        <v>-30437.25</v>
      </c>
      <c r="J783" s="84" t="s">
        <v>760</v>
      </c>
      <c r="K783" s="84">
        <v>6228</v>
      </c>
      <c r="L783" s="84" t="s">
        <v>761</v>
      </c>
      <c r="M783" s="84" t="s">
        <v>432</v>
      </c>
      <c r="N783" s="84">
        <v>622800</v>
      </c>
      <c r="O783" s="1090">
        <f t="shared" si="89"/>
        <v>-775</v>
      </c>
      <c r="P783" s="84">
        <v>2024</v>
      </c>
      <c r="Q783" s="1045" t="s">
        <v>220</v>
      </c>
      <c r="R783" s="1046" t="s">
        <v>157</v>
      </c>
      <c r="S783" s="1046">
        <v>62</v>
      </c>
      <c r="T783" s="1045" t="s">
        <v>43</v>
      </c>
    </row>
    <row r="784" spans="1:23" s="78" customFormat="1" ht="37.5" hidden="1">
      <c r="A784" s="78" t="s">
        <v>875</v>
      </c>
      <c r="B784" s="78" t="s">
        <v>79</v>
      </c>
      <c r="D784" s="1078">
        <v>45657</v>
      </c>
      <c r="E784" s="1110" t="s">
        <v>744</v>
      </c>
      <c r="F784" s="1111"/>
      <c r="G784" s="1112"/>
      <c r="H784" s="1065">
        <v>500</v>
      </c>
      <c r="I784" s="1089">
        <f t="shared" si="90"/>
        <v>-30937.25</v>
      </c>
      <c r="J784" s="84" t="s">
        <v>760</v>
      </c>
      <c r="K784" s="84">
        <v>6228</v>
      </c>
      <c r="L784" s="84" t="s">
        <v>761</v>
      </c>
      <c r="M784" s="84" t="s">
        <v>432</v>
      </c>
      <c r="N784" s="84">
        <v>622800</v>
      </c>
      <c r="O784" s="1090">
        <f t="shared" si="89"/>
        <v>-500</v>
      </c>
      <c r="P784" s="84">
        <v>2024</v>
      </c>
      <c r="Q784" s="1045" t="s">
        <v>220</v>
      </c>
      <c r="R784" s="1046" t="s">
        <v>157</v>
      </c>
      <c r="S784" s="1046">
        <v>62</v>
      </c>
      <c r="T784" s="1045" t="s">
        <v>43</v>
      </c>
      <c r="W784" s="78">
        <v>6947.45</v>
      </c>
    </row>
    <row r="785" spans="1:23" s="78" customFormat="1" ht="38.5" hidden="1">
      <c r="A785" s="78" t="s">
        <v>875</v>
      </c>
      <c r="B785" s="78" t="s">
        <v>79</v>
      </c>
      <c r="D785" s="1078">
        <v>45657</v>
      </c>
      <c r="E785" s="1096" t="s">
        <v>745</v>
      </c>
      <c r="F785" s="1097"/>
      <c r="G785" s="1098"/>
      <c r="H785" s="1065">
        <v>1000</v>
      </c>
      <c r="I785" s="1089">
        <f t="shared" si="90"/>
        <v>-31937.25</v>
      </c>
      <c r="J785" s="84" t="s">
        <v>760</v>
      </c>
      <c r="K785" s="84">
        <v>6228</v>
      </c>
      <c r="L785" s="84" t="s">
        <v>761</v>
      </c>
      <c r="M785" s="84" t="s">
        <v>432</v>
      </c>
      <c r="N785" s="84">
        <v>622800</v>
      </c>
      <c r="O785" s="1090">
        <f t="shared" si="89"/>
        <v>-1000</v>
      </c>
      <c r="P785" s="84">
        <v>2024</v>
      </c>
      <c r="Q785" s="1045" t="s">
        <v>220</v>
      </c>
      <c r="R785" s="1046" t="s">
        <v>157</v>
      </c>
      <c r="S785" s="1046">
        <v>62</v>
      </c>
      <c r="T785" s="1045" t="s">
        <v>43</v>
      </c>
    </row>
    <row r="786" spans="1:23" s="78" customFormat="1" ht="38.5" hidden="1">
      <c r="A786" s="78" t="s">
        <v>875</v>
      </c>
      <c r="B786" s="78" t="s">
        <v>79</v>
      </c>
      <c r="D786" s="1078">
        <v>45657</v>
      </c>
      <c r="E786" s="1096" t="s">
        <v>746</v>
      </c>
      <c r="F786" s="1097"/>
      <c r="G786" s="1098"/>
      <c r="H786" s="1065">
        <v>875</v>
      </c>
      <c r="I786" s="1089">
        <f t="shared" si="90"/>
        <v>-32812.25</v>
      </c>
      <c r="J786" s="84" t="s">
        <v>760</v>
      </c>
      <c r="K786" s="84">
        <v>6228</v>
      </c>
      <c r="L786" s="84" t="s">
        <v>761</v>
      </c>
      <c r="M786" s="84" t="s">
        <v>432</v>
      </c>
      <c r="N786" s="84">
        <v>622800</v>
      </c>
      <c r="O786" s="1090">
        <f t="shared" si="89"/>
        <v>-875</v>
      </c>
      <c r="P786" s="84">
        <v>2024</v>
      </c>
      <c r="Q786" s="1045" t="s">
        <v>220</v>
      </c>
      <c r="R786" s="1046" t="s">
        <v>157</v>
      </c>
      <c r="S786" s="1046">
        <v>62</v>
      </c>
      <c r="T786" s="1045" t="s">
        <v>43</v>
      </c>
      <c r="W786" s="78">
        <v>3500</v>
      </c>
    </row>
    <row r="787" spans="1:23" s="78" customFormat="1" ht="38.5" hidden="1">
      <c r="A787" s="78" t="s">
        <v>875</v>
      </c>
      <c r="B787" s="78" t="s">
        <v>79</v>
      </c>
      <c r="D787" s="1078">
        <v>45657</v>
      </c>
      <c r="E787" s="1113" t="s">
        <v>747</v>
      </c>
      <c r="F787" s="1114"/>
      <c r="G787" s="1115"/>
      <c r="H787" s="1065">
        <v>300</v>
      </c>
      <c r="I787" s="1089">
        <f t="shared" si="90"/>
        <v>-33112.25</v>
      </c>
      <c r="J787" s="84" t="s">
        <v>760</v>
      </c>
      <c r="K787" s="84">
        <v>6110</v>
      </c>
      <c r="L787" s="84" t="s">
        <v>761</v>
      </c>
      <c r="M787" s="84" t="s">
        <v>396</v>
      </c>
      <c r="N787" s="84">
        <v>611000</v>
      </c>
      <c r="O787" s="1090">
        <f t="shared" si="89"/>
        <v>-300</v>
      </c>
      <c r="P787" s="84">
        <v>2024</v>
      </c>
      <c r="Q787" s="1045" t="s">
        <v>71</v>
      </c>
      <c r="R787" s="1046" t="s">
        <v>157</v>
      </c>
      <c r="S787" s="1046">
        <v>61</v>
      </c>
      <c r="T787" s="1045" t="s">
        <v>37</v>
      </c>
      <c r="W787" s="78">
        <v>1200</v>
      </c>
    </row>
    <row r="788" spans="1:23" s="78" customFormat="1" hidden="1">
      <c r="A788" s="78" t="s">
        <v>875</v>
      </c>
      <c r="B788" s="78" t="s">
        <v>79</v>
      </c>
      <c r="D788" s="1078">
        <v>45657</v>
      </c>
      <c r="E788" s="1116" t="s">
        <v>748</v>
      </c>
      <c r="F788" s="1117"/>
      <c r="G788" s="358"/>
      <c r="H788" s="1065">
        <v>75</v>
      </c>
      <c r="I788" s="1089">
        <f t="shared" si="90"/>
        <v>-33187.25</v>
      </c>
      <c r="J788" s="84" t="s">
        <v>760</v>
      </c>
      <c r="K788" s="84">
        <v>6110</v>
      </c>
      <c r="L788" s="84" t="s">
        <v>761</v>
      </c>
      <c r="M788" s="84" t="s">
        <v>396</v>
      </c>
      <c r="N788" s="84">
        <v>611000</v>
      </c>
      <c r="O788" s="1090">
        <f t="shared" si="89"/>
        <v>-75</v>
      </c>
      <c r="P788" s="84">
        <v>2024</v>
      </c>
      <c r="Q788" s="1045" t="s">
        <v>71</v>
      </c>
      <c r="R788" s="1046" t="s">
        <v>157</v>
      </c>
      <c r="S788" s="1046">
        <v>61</v>
      </c>
      <c r="T788" s="1045" t="s">
        <v>37</v>
      </c>
      <c r="W788" s="78">
        <v>300</v>
      </c>
    </row>
    <row r="789" spans="1:23" s="78" customFormat="1" hidden="1">
      <c r="A789" s="78" t="s">
        <v>875</v>
      </c>
      <c r="B789" s="78" t="s">
        <v>79</v>
      </c>
      <c r="D789" s="1078">
        <v>45657</v>
      </c>
      <c r="E789" s="1091" t="s">
        <v>749</v>
      </c>
      <c r="F789" s="1091"/>
      <c r="G789" s="1092"/>
      <c r="H789" s="1065">
        <v>1325</v>
      </c>
      <c r="I789" s="1089">
        <f t="shared" si="90"/>
        <v>-34512.25</v>
      </c>
      <c r="J789" s="84" t="s">
        <v>760</v>
      </c>
      <c r="K789" s="84">
        <v>6230</v>
      </c>
      <c r="L789" s="84" t="s">
        <v>761</v>
      </c>
      <c r="M789" s="84" t="s">
        <v>409</v>
      </c>
      <c r="N789" s="84">
        <v>623000</v>
      </c>
      <c r="O789" s="1090">
        <f t="shared" si="89"/>
        <v>-1325</v>
      </c>
      <c r="P789" s="84">
        <v>2024</v>
      </c>
      <c r="Q789" s="1045" t="s">
        <v>46</v>
      </c>
      <c r="R789" s="1046" t="s">
        <v>157</v>
      </c>
      <c r="S789" s="1046">
        <v>62</v>
      </c>
      <c r="T789" s="1045" t="s">
        <v>43</v>
      </c>
      <c r="W789" s="78">
        <v>1350</v>
      </c>
    </row>
    <row r="790" spans="1:23" s="78" customFormat="1" hidden="1">
      <c r="A790" s="78" t="s">
        <v>875</v>
      </c>
      <c r="B790" s="78" t="s">
        <v>79</v>
      </c>
      <c r="D790" s="1078">
        <v>45657</v>
      </c>
      <c r="E790" s="1091" t="s">
        <v>751</v>
      </c>
      <c r="F790" s="1091"/>
      <c r="G790" s="1092"/>
      <c r="H790" s="1065">
        <v>500</v>
      </c>
      <c r="I790" s="1089">
        <f t="shared" si="90"/>
        <v>-35012.25</v>
      </c>
      <c r="J790" s="84" t="s">
        <v>760</v>
      </c>
      <c r="K790" s="84">
        <v>6110</v>
      </c>
      <c r="L790" s="84" t="s">
        <v>761</v>
      </c>
      <c r="M790" s="84" t="s">
        <v>396</v>
      </c>
      <c r="N790" s="84">
        <v>611000</v>
      </c>
      <c r="O790" s="1090">
        <f t="shared" si="89"/>
        <v>-500</v>
      </c>
      <c r="P790" s="84">
        <v>2024</v>
      </c>
      <c r="Q790" s="1045" t="s">
        <v>71</v>
      </c>
      <c r="R790" s="1046" t="s">
        <v>157</v>
      </c>
      <c r="S790" s="1046">
        <v>61</v>
      </c>
      <c r="T790" s="1045" t="s">
        <v>37</v>
      </c>
      <c r="W790" s="78">
        <f>SUM(W786:W789)</f>
        <v>6350</v>
      </c>
    </row>
    <row r="791" spans="1:23" s="78" customFormat="1" hidden="1">
      <c r="A791" s="78" t="s">
        <v>875</v>
      </c>
      <c r="B791" s="78" t="s">
        <v>79</v>
      </c>
      <c r="D791" s="1078">
        <v>45657</v>
      </c>
      <c r="E791" s="1118" t="s">
        <v>753</v>
      </c>
      <c r="F791" s="1118"/>
      <c r="G791" s="1119"/>
      <c r="H791" s="1065">
        <v>450</v>
      </c>
      <c r="I791" s="1089">
        <f t="shared" si="90"/>
        <v>-35462.25</v>
      </c>
      <c r="J791" s="84" t="s">
        <v>760</v>
      </c>
      <c r="K791" s="84">
        <v>6110</v>
      </c>
      <c r="L791" s="84" t="s">
        <v>761</v>
      </c>
      <c r="M791" s="84" t="s">
        <v>396</v>
      </c>
      <c r="N791" s="84">
        <v>611000</v>
      </c>
      <c r="O791" s="1090">
        <f t="shared" si="89"/>
        <v>-450</v>
      </c>
      <c r="P791" s="84">
        <v>2024</v>
      </c>
      <c r="Q791" s="1045" t="s">
        <v>71</v>
      </c>
      <c r="R791" s="1046" t="s">
        <v>157</v>
      </c>
      <c r="S791" s="1046">
        <v>61</v>
      </c>
      <c r="T791" s="1045" t="s">
        <v>37</v>
      </c>
      <c r="W791" s="78">
        <f>+W784-W790</f>
        <v>597.44999999999982</v>
      </c>
    </row>
    <row r="792" spans="1:23" s="78" customFormat="1" hidden="1">
      <c r="A792" s="78" t="s">
        <v>875</v>
      </c>
      <c r="B792" s="78" t="s">
        <v>79</v>
      </c>
      <c r="D792" s="1078">
        <v>45657</v>
      </c>
      <c r="E792" s="1120" t="s">
        <v>755</v>
      </c>
      <c r="F792" s="1120"/>
      <c r="G792" s="1121"/>
      <c r="H792" s="1065">
        <f>(1350+597)*0.25</f>
        <v>486.75</v>
      </c>
      <c r="I792" s="1089">
        <f t="shared" si="90"/>
        <v>-35949</v>
      </c>
      <c r="J792" s="84" t="s">
        <v>760</v>
      </c>
      <c r="K792" s="84">
        <v>6110</v>
      </c>
      <c r="L792" s="84" t="s">
        <v>761</v>
      </c>
      <c r="M792" s="84" t="s">
        <v>396</v>
      </c>
      <c r="N792" s="84">
        <v>611000</v>
      </c>
      <c r="O792" s="1090">
        <f t="shared" si="89"/>
        <v>-486.75</v>
      </c>
      <c r="P792" s="84">
        <v>2024</v>
      </c>
      <c r="Q792" s="1045" t="s">
        <v>71</v>
      </c>
      <c r="R792" s="1046" t="s">
        <v>157</v>
      </c>
      <c r="S792" s="1046">
        <v>61</v>
      </c>
      <c r="T792" s="1045" t="s">
        <v>37</v>
      </c>
    </row>
    <row r="793" spans="1:23" s="78" customFormat="1" hidden="1">
      <c r="A793" s="78" t="s">
        <v>875</v>
      </c>
      <c r="B793" s="78" t="s">
        <v>79</v>
      </c>
      <c r="D793" s="1078">
        <v>45657</v>
      </c>
      <c r="E793" s="1118" t="s">
        <v>756</v>
      </c>
      <c r="F793" s="1118"/>
      <c r="G793" s="1119"/>
      <c r="H793" s="1065">
        <v>325</v>
      </c>
      <c r="I793" s="1089">
        <f t="shared" si="90"/>
        <v>-36274</v>
      </c>
      <c r="J793" s="84" t="s">
        <v>760</v>
      </c>
      <c r="K793" s="84">
        <v>6110</v>
      </c>
      <c r="L793" s="84" t="s">
        <v>761</v>
      </c>
      <c r="M793" s="84" t="s">
        <v>396</v>
      </c>
      <c r="N793" s="84">
        <v>611000</v>
      </c>
      <c r="O793" s="1090">
        <f t="shared" si="89"/>
        <v>-325</v>
      </c>
      <c r="P793" s="84">
        <v>2024</v>
      </c>
      <c r="Q793" s="1045" t="s">
        <v>71</v>
      </c>
      <c r="R793" s="1046" t="s">
        <v>157</v>
      </c>
      <c r="S793" s="1046">
        <v>61</v>
      </c>
      <c r="T793" s="1045" t="s">
        <v>37</v>
      </c>
    </row>
    <row r="794" spans="1:23" s="78" customFormat="1" ht="26" hidden="1">
      <c r="A794" s="78" t="s">
        <v>875</v>
      </c>
      <c r="B794" s="78" t="s">
        <v>79</v>
      </c>
      <c r="D794" s="1078">
        <v>45657</v>
      </c>
      <c r="E794" s="1122" t="s">
        <v>757</v>
      </c>
      <c r="F794" s="1122"/>
      <c r="G794" s="1123"/>
      <c r="H794" s="1065">
        <v>200</v>
      </c>
      <c r="I794" s="1089">
        <f t="shared" si="90"/>
        <v>-36474</v>
      </c>
      <c r="J794" s="84" t="s">
        <v>760</v>
      </c>
      <c r="K794" s="84">
        <v>6110</v>
      </c>
      <c r="L794" s="84" t="s">
        <v>761</v>
      </c>
      <c r="M794" s="84" t="s">
        <v>396</v>
      </c>
      <c r="N794" s="84">
        <v>611000</v>
      </c>
      <c r="O794" s="1090">
        <f t="shared" si="89"/>
        <v>-200</v>
      </c>
      <c r="P794" s="84">
        <v>2024</v>
      </c>
      <c r="Q794" s="1045" t="s">
        <v>71</v>
      </c>
      <c r="R794" s="1046" t="s">
        <v>157</v>
      </c>
      <c r="S794" s="1046">
        <v>61</v>
      </c>
      <c r="T794" s="1045" t="s">
        <v>37</v>
      </c>
    </row>
    <row r="795" spans="1:23" s="78" customFormat="1" hidden="1">
      <c r="A795" s="78" t="s">
        <v>875</v>
      </c>
      <c r="B795" s="78" t="s">
        <v>79</v>
      </c>
      <c r="D795" s="1078">
        <v>45657</v>
      </c>
      <c r="E795" s="1124" t="s">
        <v>758</v>
      </c>
      <c r="F795" s="1124"/>
      <c r="G795" s="1125"/>
      <c r="H795" s="1065"/>
      <c r="I795" s="1089">
        <f t="shared" si="90"/>
        <v>-36474</v>
      </c>
      <c r="J795" s="84" t="s">
        <v>760</v>
      </c>
      <c r="K795" s="84">
        <v>8620</v>
      </c>
      <c r="L795" s="84" t="s">
        <v>761</v>
      </c>
      <c r="M795" s="84" t="s">
        <v>145</v>
      </c>
      <c r="N795" s="84">
        <v>862000</v>
      </c>
      <c r="O795" s="1090">
        <f t="shared" si="89"/>
        <v>0</v>
      </c>
      <c r="P795" s="84">
        <v>2024</v>
      </c>
      <c r="Q795" s="1045" t="s">
        <v>145</v>
      </c>
      <c r="R795" s="1046" t="s">
        <v>157</v>
      </c>
      <c r="S795" s="1046">
        <v>86</v>
      </c>
      <c r="T795" s="1045" t="s">
        <v>139</v>
      </c>
    </row>
    <row r="796" spans="1:23" s="78" customFormat="1" hidden="1">
      <c r="A796" s="78" t="s">
        <v>875</v>
      </c>
      <c r="B796" s="78" t="s">
        <v>79</v>
      </c>
      <c r="D796" s="1078">
        <v>45657</v>
      </c>
      <c r="E796" s="1126" t="s">
        <v>734</v>
      </c>
      <c r="F796" s="1127"/>
      <c r="G796" s="1128"/>
      <c r="H796" s="1065"/>
      <c r="I796" s="1089">
        <f t="shared" si="90"/>
        <v>-36474</v>
      </c>
      <c r="J796" s="84" t="s">
        <v>760</v>
      </c>
      <c r="K796" s="84">
        <v>7770</v>
      </c>
      <c r="L796" s="84" t="s">
        <v>761</v>
      </c>
      <c r="M796" s="84" t="s">
        <v>65</v>
      </c>
      <c r="N796" s="84">
        <v>777000</v>
      </c>
      <c r="O796" s="1090">
        <f t="shared" si="89"/>
        <v>0</v>
      </c>
      <c r="P796" s="84">
        <v>2024</v>
      </c>
      <c r="Q796" s="1045" t="s">
        <v>65</v>
      </c>
      <c r="R796" s="1046" t="s">
        <v>158</v>
      </c>
      <c r="S796" s="1046">
        <v>77</v>
      </c>
      <c r="T796" s="1045" t="s">
        <v>65</v>
      </c>
    </row>
    <row r="797" spans="1:23" s="78" customFormat="1" hidden="1">
      <c r="A797" s="78" t="s">
        <v>875</v>
      </c>
      <c r="B797" s="78" t="s">
        <v>79</v>
      </c>
      <c r="D797" s="1078">
        <v>45657</v>
      </c>
      <c r="E797" s="1130" t="s">
        <v>750</v>
      </c>
      <c r="F797" s="1131"/>
      <c r="G797" s="1065">
        <v>12500</v>
      </c>
      <c r="H797" s="1129"/>
      <c r="I797" s="1089">
        <f t="shared" si="90"/>
        <v>-23974</v>
      </c>
      <c r="J797" s="84" t="s">
        <v>760</v>
      </c>
      <c r="K797" s="84">
        <v>7440</v>
      </c>
      <c r="L797" s="84" t="s">
        <v>761</v>
      </c>
      <c r="M797" s="84" t="s">
        <v>762</v>
      </c>
      <c r="N797" s="84">
        <v>744000</v>
      </c>
      <c r="O797" s="1090">
        <f t="shared" si="89"/>
        <v>12500</v>
      </c>
      <c r="P797" s="84">
        <v>2024</v>
      </c>
      <c r="Q797" s="1045" t="s">
        <v>762</v>
      </c>
      <c r="R797" s="1046" t="s">
        <v>158</v>
      </c>
      <c r="S797" s="1046">
        <v>74</v>
      </c>
      <c r="T797" s="1045" t="s">
        <v>38</v>
      </c>
    </row>
    <row r="798" spans="1:23" s="78" customFormat="1" hidden="1">
      <c r="A798" s="78" t="s">
        <v>875</v>
      </c>
      <c r="B798" s="78" t="s">
        <v>79</v>
      </c>
      <c r="D798" s="1078">
        <v>45657</v>
      </c>
      <c r="E798" s="1132" t="s">
        <v>752</v>
      </c>
      <c r="F798" s="1133"/>
      <c r="G798" s="1065">
        <v>18250</v>
      </c>
      <c r="H798" s="1129"/>
      <c r="I798" s="1089">
        <f t="shared" si="90"/>
        <v>-5724</v>
      </c>
      <c r="J798" s="84" t="s">
        <v>760</v>
      </c>
      <c r="K798" s="84">
        <v>7430</v>
      </c>
      <c r="L798" s="84" t="s">
        <v>761</v>
      </c>
      <c r="M798" s="84" t="s">
        <v>579</v>
      </c>
      <c r="N798" s="84">
        <v>743000</v>
      </c>
      <c r="O798" s="1090">
        <f t="shared" si="89"/>
        <v>18250</v>
      </c>
      <c r="P798" s="84">
        <v>2024</v>
      </c>
      <c r="Q798" s="1045" t="s">
        <v>576</v>
      </c>
      <c r="R798" s="1046" t="s">
        <v>158</v>
      </c>
      <c r="S798" s="1046">
        <v>74</v>
      </c>
      <c r="T798" s="1045" t="s">
        <v>38</v>
      </c>
    </row>
    <row r="799" spans="1:23" s="78" customFormat="1" hidden="1">
      <c r="A799" s="78" t="s">
        <v>875</v>
      </c>
      <c r="B799" s="78" t="s">
        <v>79</v>
      </c>
      <c r="D799" s="1078">
        <v>45657</v>
      </c>
      <c r="E799" s="1134" t="s">
        <v>754</v>
      </c>
      <c r="F799" s="1135"/>
      <c r="G799" s="1065">
        <v>2074</v>
      </c>
      <c r="H799" s="1129"/>
      <c r="I799" s="1089">
        <f t="shared" si="90"/>
        <v>-3650</v>
      </c>
      <c r="J799" s="84" t="s">
        <v>760</v>
      </c>
      <c r="K799" s="84">
        <v>7450</v>
      </c>
      <c r="L799" s="84" t="s">
        <v>761</v>
      </c>
      <c r="M799" s="84" t="s">
        <v>763</v>
      </c>
      <c r="N799" s="84">
        <v>745000</v>
      </c>
      <c r="O799" s="1090">
        <f t="shared" si="89"/>
        <v>2074</v>
      </c>
      <c r="P799" s="84">
        <v>2024</v>
      </c>
      <c r="Q799" s="1045" t="s">
        <v>763</v>
      </c>
      <c r="R799" s="1046" t="s">
        <v>158</v>
      </c>
      <c r="S799" s="1046">
        <v>74</v>
      </c>
      <c r="T799" s="1045" t="s">
        <v>38</v>
      </c>
    </row>
    <row r="800" spans="1:23" s="78" customFormat="1" hidden="1">
      <c r="A800" s="78" t="s">
        <v>875</v>
      </c>
      <c r="B800" s="78" t="s">
        <v>79</v>
      </c>
      <c r="D800" s="1078">
        <v>45657</v>
      </c>
      <c r="E800" s="1136" t="s">
        <v>878</v>
      </c>
      <c r="F800" s="1137"/>
      <c r="G800" s="1065">
        <v>1825</v>
      </c>
      <c r="H800" s="1129"/>
      <c r="I800" s="1089">
        <f t="shared" si="90"/>
        <v>-1825</v>
      </c>
      <c r="J800" s="84" t="s">
        <v>760</v>
      </c>
      <c r="K800" s="84">
        <v>8710</v>
      </c>
      <c r="L800" s="84" t="s">
        <v>761</v>
      </c>
      <c r="M800" s="84" t="s">
        <v>146</v>
      </c>
      <c r="N800" s="84">
        <v>871000</v>
      </c>
      <c r="O800" s="1090">
        <f t="shared" si="89"/>
        <v>1825</v>
      </c>
      <c r="P800" s="84">
        <v>2024</v>
      </c>
      <c r="Q800" s="1045" t="s">
        <v>146</v>
      </c>
      <c r="R800" s="1046" t="s">
        <v>158</v>
      </c>
      <c r="S800" s="1046">
        <v>87</v>
      </c>
      <c r="T800" s="1045" t="s">
        <v>142</v>
      </c>
    </row>
    <row r="801" spans="1:20" ht="21.5" hidden="1">
      <c r="A801" s="201" t="s">
        <v>170</v>
      </c>
      <c r="B801" s="508" t="s">
        <v>79</v>
      </c>
      <c r="D801" s="1266">
        <v>45392</v>
      </c>
      <c r="E801" s="1271" t="s">
        <v>844</v>
      </c>
      <c r="G801" s="1278"/>
      <c r="H801" s="1278">
        <v>9000</v>
      </c>
      <c r="I801" s="477">
        <f>+I709+G801-H801</f>
        <v>-3672.9699999999957</v>
      </c>
      <c r="J801" s="466" t="s">
        <v>527</v>
      </c>
      <c r="K801" s="20">
        <f>N801/100</f>
        <v>6110</v>
      </c>
      <c r="L801" s="74" t="str">
        <f>VLOOKUP($J801,'2 CODIFICATION'!A$5:B$21,2,"FAUX")</f>
        <v>TOILETTES ECOSAN</v>
      </c>
      <c r="M801" s="74" t="str">
        <f>VLOOKUP($K801,'2 CODIFICATION'!D$8:E$64,2,"FAUX")</f>
        <v>Sous traitance projet</v>
      </c>
      <c r="N801" s="74">
        <v>611000</v>
      </c>
      <c r="O801" s="206">
        <f t="shared" ref="O801:O832" si="91">G801-H801</f>
        <v>-9000</v>
      </c>
      <c r="P801" s="74">
        <f t="shared" ref="P801:P832" si="92">YEAR(D801)</f>
        <v>2024</v>
      </c>
      <c r="Q801" s="270" t="str">
        <f>VLOOKUP($N801,'2 CODIFICATION'!$G$5:$L$71,3,FALSE)</f>
        <v xml:space="preserve">Sous-traitance générale </v>
      </c>
      <c r="R801" s="271" t="str">
        <f>VLOOKUP($N801,'2 CODIFICATION'!$G$5:$L$71,4,FALSE)</f>
        <v>chges</v>
      </c>
      <c r="S801" s="271">
        <f>VLOOKUP($N801,'2 CODIFICATION'!$G$5:$L$71,5,FALSE)</f>
        <v>61</v>
      </c>
      <c r="T801" s="270" t="str">
        <f>VLOOKUP($N801,'2 CODIFICATION'!$G$5:$L$71,6,FALSE)</f>
        <v>Services extérieurs</v>
      </c>
    </row>
    <row r="802" spans="1:20" ht="21.5" hidden="1">
      <c r="A802" s="201" t="s">
        <v>170</v>
      </c>
      <c r="B802" s="508" t="s">
        <v>79</v>
      </c>
      <c r="D802" s="899">
        <v>45398</v>
      </c>
      <c r="E802" s="900" t="s">
        <v>842</v>
      </c>
      <c r="G802" s="901"/>
      <c r="H802" s="901">
        <v>123.98</v>
      </c>
      <c r="I802" s="477">
        <f t="shared" ref="I802:I825" si="93">+I801+G802-H802</f>
        <v>-3796.9499999999957</v>
      </c>
      <c r="J802" s="466" t="s">
        <v>527</v>
      </c>
      <c r="K802" s="20">
        <f>N802/100</f>
        <v>6230</v>
      </c>
      <c r="L802" s="74" t="str">
        <f>VLOOKUP($J802,'2 CODIFICATION'!A$5:B$21,2,"FAUX")</f>
        <v>TOILETTES ECOSAN</v>
      </c>
      <c r="M802" s="74" t="str">
        <f>VLOOKUP($K802,'2 CODIFICATION'!D$8:E$64,2,"FAUX")</f>
        <v>communication</v>
      </c>
      <c r="N802" s="74">
        <v>623000</v>
      </c>
      <c r="O802" s="206">
        <f t="shared" si="91"/>
        <v>-123.98</v>
      </c>
      <c r="P802" s="74">
        <f t="shared" si="92"/>
        <v>2024</v>
      </c>
      <c r="Q802" s="270" t="str">
        <f>VLOOKUP($N802,'2 CODIFICATION'!$G$5:$L$71,3,FALSE)</f>
        <v>Publicité, publications, Création de site web</v>
      </c>
      <c r="R802" s="271" t="str">
        <f>VLOOKUP($N802,'2 CODIFICATION'!$G$5:$L$71,4,FALSE)</f>
        <v>chges</v>
      </c>
      <c r="S802" s="271">
        <f>VLOOKUP($N802,'2 CODIFICATION'!$G$5:$L$71,5,FALSE)</f>
        <v>62</v>
      </c>
      <c r="T802" s="270" t="str">
        <f>VLOOKUP($N802,'2 CODIFICATION'!$G$5:$L$71,6,FALSE)</f>
        <v>Autres services extérieurs</v>
      </c>
    </row>
    <row r="803" spans="1:20" ht="21.5" hidden="1">
      <c r="A803" s="201" t="s">
        <v>170</v>
      </c>
      <c r="B803" s="508" t="s">
        <v>79</v>
      </c>
      <c r="D803" s="1266">
        <v>45398</v>
      </c>
      <c r="E803" s="1271" t="s">
        <v>843</v>
      </c>
      <c r="G803" s="1278"/>
      <c r="H803" s="1278">
        <v>15.48</v>
      </c>
      <c r="I803" s="477">
        <f t="shared" si="93"/>
        <v>-3812.4299999999957</v>
      </c>
      <c r="J803" s="466" t="s">
        <v>527</v>
      </c>
      <c r="K803" s="20">
        <f>N803/100</f>
        <v>6230</v>
      </c>
      <c r="L803" s="74" t="str">
        <f>VLOOKUP($J803,'2 CODIFICATION'!A$5:B$21,2,"FAUX")</f>
        <v>TOILETTES ECOSAN</v>
      </c>
      <c r="M803" s="74" t="str">
        <f>VLOOKUP($K803,'2 CODIFICATION'!D$8:E$64,2,"FAUX")</f>
        <v>communication</v>
      </c>
      <c r="N803" s="74">
        <v>623000</v>
      </c>
      <c r="O803" s="206">
        <f t="shared" si="91"/>
        <v>-15.48</v>
      </c>
      <c r="P803" s="74">
        <f t="shared" si="92"/>
        <v>2024</v>
      </c>
      <c r="Q803" s="270" t="str">
        <f>VLOOKUP($N803,'2 CODIFICATION'!$G$5:$L$71,3,FALSE)</f>
        <v>Publicité, publications, Création de site web</v>
      </c>
      <c r="R803" s="271" t="str">
        <f>VLOOKUP($N803,'2 CODIFICATION'!$G$5:$L$71,4,FALSE)</f>
        <v>chges</v>
      </c>
      <c r="S803" s="271">
        <f>VLOOKUP($N803,'2 CODIFICATION'!$G$5:$L$71,5,FALSE)</f>
        <v>62</v>
      </c>
      <c r="T803" s="270" t="str">
        <f>VLOOKUP($N803,'2 CODIFICATION'!$G$5:$L$71,6,FALSE)</f>
        <v>Autres services extérieurs</v>
      </c>
    </row>
    <row r="804" spans="1:20" ht="15.5" hidden="1">
      <c r="A804" s="78" t="s">
        <v>170</v>
      </c>
      <c r="B804" s="374" t="s">
        <v>79</v>
      </c>
      <c r="C804" s="1260"/>
      <c r="D804" s="1416">
        <v>45403</v>
      </c>
      <c r="E804" s="1417" t="s">
        <v>850</v>
      </c>
      <c r="F804" s="1418"/>
      <c r="G804" s="1419">
        <v>5500</v>
      </c>
      <c r="H804" s="1420"/>
      <c r="I804" s="477">
        <f t="shared" si="93"/>
        <v>1687.5700000000043</v>
      </c>
      <c r="J804" s="1283" t="s">
        <v>527</v>
      </c>
      <c r="K804" s="22">
        <f>+N804/100</f>
        <v>7588</v>
      </c>
      <c r="L804" s="74" t="str">
        <f>VLOOKUP($J804,'2 CODIFICATION'!A$5:B$21,2,"FAUX")</f>
        <v>TOILETTES ECOSAN</v>
      </c>
      <c r="M804" s="74" t="str">
        <f>VLOOKUP($K804,'2 CODIFICATION'!D$8:E$64,2,"FAUX")</f>
        <v>Fonds propres</v>
      </c>
      <c r="N804" s="85">
        <v>758800</v>
      </c>
      <c r="O804" s="206">
        <f t="shared" si="91"/>
        <v>5500</v>
      </c>
      <c r="P804" s="84">
        <f t="shared" si="92"/>
        <v>2024</v>
      </c>
      <c r="Q804" s="11" t="str">
        <f>VLOOKUP($N804,'2 CODIFICATION'!$G$5:$L$71,3,FALSE)</f>
        <v>Fonds propres</v>
      </c>
      <c r="R804" s="53" t="str">
        <f>VLOOKUP($N804,'2 CODIFICATION'!$G$5:$L$71,4,FALSE)</f>
        <v>pdts</v>
      </c>
      <c r="S804" s="53">
        <f>VLOOKUP($N804,'2 CODIFICATION'!$G$5:$L$71,5,FALSE)</f>
        <v>75</v>
      </c>
      <c r="T804" s="11" t="str">
        <f>VLOOKUP($N804,'2 CODIFICATION'!$G$5:$L$71,6,FALSE)</f>
        <v>Produits financiers</v>
      </c>
    </row>
    <row r="805" spans="1:20" ht="15.5" hidden="1">
      <c r="A805" s="78" t="s">
        <v>170</v>
      </c>
      <c r="B805" s="374" t="s">
        <v>79</v>
      </c>
      <c r="C805" s="1260"/>
      <c r="D805" s="1416">
        <v>45403</v>
      </c>
      <c r="E805" s="1417" t="s">
        <v>850</v>
      </c>
      <c r="F805" s="1418"/>
      <c r="G805" s="1419"/>
      <c r="H805" s="1419">
        <v>5500</v>
      </c>
      <c r="I805" s="477">
        <f t="shared" si="93"/>
        <v>-3812.4299999999957</v>
      </c>
      <c r="J805" s="1283" t="s">
        <v>273</v>
      </c>
      <c r="K805" s="22">
        <f>+N805/100</f>
        <v>7588</v>
      </c>
      <c r="L805" s="74" t="str">
        <f>VLOOKUP($J805,'2 CODIFICATION'!A$5:B$21,2,"FAUX")</f>
        <v>ADMINIST ET FONCT</v>
      </c>
      <c r="M805" s="74" t="str">
        <f>VLOOKUP($K805,'2 CODIFICATION'!D$8:E$64,2,"FAUX")</f>
        <v>Fonds propres</v>
      </c>
      <c r="N805" s="85">
        <v>758800</v>
      </c>
      <c r="O805" s="206">
        <f t="shared" si="91"/>
        <v>-5500</v>
      </c>
      <c r="P805" s="84">
        <f t="shared" si="92"/>
        <v>2024</v>
      </c>
      <c r="Q805" s="11" t="str">
        <f>VLOOKUP($N805,'2 CODIFICATION'!$G$5:$L$71,3,FALSE)</f>
        <v>Fonds propres</v>
      </c>
      <c r="R805" s="53" t="str">
        <f>VLOOKUP($N805,'2 CODIFICATION'!$G$5:$L$71,4,FALSE)</f>
        <v>pdts</v>
      </c>
      <c r="S805" s="53">
        <f>VLOOKUP($N805,'2 CODIFICATION'!$G$5:$L$71,5,FALSE)</f>
        <v>75</v>
      </c>
      <c r="T805" s="11" t="str">
        <f>VLOOKUP($N805,'2 CODIFICATION'!$G$5:$L$71,6,FALSE)</f>
        <v>Produits financiers</v>
      </c>
    </row>
    <row r="806" spans="1:20" hidden="1">
      <c r="A806" s="201" t="s">
        <v>170</v>
      </c>
      <c r="B806" s="508" t="s">
        <v>79</v>
      </c>
      <c r="D806" s="899">
        <v>45405</v>
      </c>
      <c r="E806" s="845" t="s">
        <v>974</v>
      </c>
      <c r="F806" s="975"/>
      <c r="G806" s="901"/>
      <c r="H806" s="901">
        <v>164</v>
      </c>
      <c r="I806" s="477">
        <f t="shared" si="93"/>
        <v>-3976.4299999999957</v>
      </c>
      <c r="J806" s="466" t="s">
        <v>527</v>
      </c>
      <c r="K806" s="20">
        <f t="shared" ref="K806:K837" si="94">N806/100</f>
        <v>6250</v>
      </c>
      <c r="L806" s="74" t="str">
        <f>VLOOKUP($J806,'2 CODIFICATION'!A$5:B$21,2,"FAUX")</f>
        <v>TOILETTES ECOSAN</v>
      </c>
      <c r="M806" s="74" t="str">
        <f>VLOOKUP($K806,'2 CODIFICATION'!D$8:E$64,2,"FAUX")</f>
        <v>déplacements</v>
      </c>
      <c r="N806" s="74">
        <v>625000</v>
      </c>
      <c r="O806" s="206">
        <f t="shared" si="91"/>
        <v>-164</v>
      </c>
      <c r="P806" s="74">
        <f t="shared" si="92"/>
        <v>2024</v>
      </c>
      <c r="Q806" s="270" t="str">
        <f>VLOOKUP($N806,'2 CODIFICATION'!$G$5:$L$71,3,FALSE)</f>
        <v>Déplacements, missions et réceptions</v>
      </c>
      <c r="R806" s="271" t="str">
        <f>VLOOKUP($N806,'2 CODIFICATION'!$G$5:$L$71,4,FALSE)</f>
        <v>chges</v>
      </c>
      <c r="S806" s="271">
        <f>VLOOKUP($N806,'2 CODIFICATION'!$G$5:$L$71,5,FALSE)</f>
        <v>62</v>
      </c>
      <c r="T806" s="270" t="str">
        <f>VLOOKUP($N806,'2 CODIFICATION'!$G$5:$L$71,6,FALSE)</f>
        <v>Autres services extérieurs</v>
      </c>
    </row>
    <row r="807" spans="1:20" ht="21.5" hidden="1">
      <c r="A807" s="201" t="s">
        <v>170</v>
      </c>
      <c r="B807" s="508" t="s">
        <v>79</v>
      </c>
      <c r="D807" s="899">
        <v>45405</v>
      </c>
      <c r="E807" s="900" t="s">
        <v>872</v>
      </c>
      <c r="F807" s="975"/>
      <c r="G807" s="901">
        <v>90</v>
      </c>
      <c r="H807" s="901"/>
      <c r="I807" s="477">
        <f t="shared" si="93"/>
        <v>-3886.4299999999957</v>
      </c>
      <c r="J807" s="466" t="s">
        <v>894</v>
      </c>
      <c r="K807" s="20">
        <f t="shared" si="94"/>
        <v>7581</v>
      </c>
      <c r="L807" s="74" t="str">
        <f>VLOOKUP($J807,'2 CODIFICATION'!A$5:B$21,2,"FAUX")</f>
        <v>ADMINIST ET FONCT</v>
      </c>
      <c r="M807" s="74" t="str">
        <f>VLOOKUP($K807,'2 CODIFICATION'!D$8:E$64,2,"FAUX")</f>
        <v>Adhésions association</v>
      </c>
      <c r="N807" s="74">
        <v>758100</v>
      </c>
      <c r="O807" s="206">
        <f t="shared" si="91"/>
        <v>90</v>
      </c>
      <c r="P807" s="74">
        <f t="shared" si="92"/>
        <v>2024</v>
      </c>
      <c r="Q807" s="270" t="str">
        <f>VLOOKUP($N807,'2 CODIFICATION'!$G$5:$L$71,3,FALSE)</f>
        <v>Cotisations individuelles et associatives</v>
      </c>
      <c r="R807" s="271" t="str">
        <f>VLOOKUP($N807,'2 CODIFICATION'!$G$5:$L$71,4,FALSE)</f>
        <v>pdts</v>
      </c>
      <c r="S807" s="271">
        <f>VLOOKUP($N807,'2 CODIFICATION'!$G$5:$L$71,5,FALSE)</f>
        <v>75</v>
      </c>
      <c r="T807" s="270" t="str">
        <f>VLOOKUP($N807,'2 CODIFICATION'!$G$5:$L$71,6,FALSE)</f>
        <v>Autres produits de gestion courante</v>
      </c>
    </row>
    <row r="808" spans="1:20" ht="21.5" hidden="1">
      <c r="A808" s="201" t="s">
        <v>170</v>
      </c>
      <c r="B808" s="508" t="s">
        <v>79</v>
      </c>
      <c r="D808" s="899">
        <v>45408</v>
      </c>
      <c r="E808" s="900" t="s">
        <v>871</v>
      </c>
      <c r="F808" s="975"/>
      <c r="G808" s="901">
        <v>20</v>
      </c>
      <c r="H808" s="901"/>
      <c r="I808" s="477">
        <f t="shared" si="93"/>
        <v>-3866.4299999999957</v>
      </c>
      <c r="J808" s="466" t="s">
        <v>273</v>
      </c>
      <c r="K808" s="20">
        <f t="shared" si="94"/>
        <v>7581</v>
      </c>
      <c r="L808" s="74" t="str">
        <f>VLOOKUP($J808,'2 CODIFICATION'!A$5:B$21,2,"FAUX")</f>
        <v>ADMINIST ET FONCT</v>
      </c>
      <c r="M808" s="74" t="str">
        <f>VLOOKUP($K808,'2 CODIFICATION'!D$8:E$64,2,"FAUX")</f>
        <v>Adhésions association</v>
      </c>
      <c r="N808" s="74">
        <v>758100</v>
      </c>
      <c r="O808" s="206">
        <f t="shared" si="91"/>
        <v>20</v>
      </c>
      <c r="P808" s="74">
        <f t="shared" si="92"/>
        <v>2024</v>
      </c>
      <c r="Q808" s="270" t="str">
        <f>VLOOKUP($N808,'2 CODIFICATION'!$G$5:$L$71,3,FALSE)</f>
        <v>Cotisations individuelles et associatives</v>
      </c>
      <c r="R808" s="271" t="str">
        <f>VLOOKUP($N808,'2 CODIFICATION'!$G$5:$L$71,4,FALSE)</f>
        <v>pdts</v>
      </c>
      <c r="S808" s="271">
        <f>VLOOKUP($N808,'2 CODIFICATION'!$G$5:$L$71,5,FALSE)</f>
        <v>75</v>
      </c>
      <c r="T808" s="270" t="str">
        <f>VLOOKUP($N808,'2 CODIFICATION'!$G$5:$L$71,6,FALSE)</f>
        <v>Autres produits de gestion courante</v>
      </c>
    </row>
    <row r="809" spans="1:20" hidden="1">
      <c r="A809" s="201" t="s">
        <v>170</v>
      </c>
      <c r="B809" s="508" t="s">
        <v>79</v>
      </c>
      <c r="D809" s="899">
        <v>45414</v>
      </c>
      <c r="E809" s="845" t="s">
        <v>975</v>
      </c>
      <c r="F809" s="975"/>
      <c r="G809" s="901"/>
      <c r="H809" s="901">
        <v>61.99</v>
      </c>
      <c r="I809" s="477">
        <f t="shared" si="93"/>
        <v>-3928.4199999999955</v>
      </c>
      <c r="J809" s="466" t="s">
        <v>527</v>
      </c>
      <c r="K809" s="20">
        <f t="shared" si="94"/>
        <v>6230</v>
      </c>
      <c r="L809" s="74" t="str">
        <f>VLOOKUP($J809,'2 CODIFICATION'!A$5:B$21,2,"FAUX")</f>
        <v>TOILETTES ECOSAN</v>
      </c>
      <c r="M809" s="74" t="str">
        <f>VLOOKUP($K809,'2 CODIFICATION'!D$8:E$64,2,"FAUX")</f>
        <v>communication</v>
      </c>
      <c r="N809" s="74">
        <v>623000</v>
      </c>
      <c r="O809" s="206">
        <f t="shared" si="91"/>
        <v>-61.99</v>
      </c>
      <c r="P809" s="74">
        <f t="shared" si="92"/>
        <v>2024</v>
      </c>
      <c r="Q809" s="270" t="str">
        <f>VLOOKUP($N809,'2 CODIFICATION'!$G$5:$L$71,3,FALSE)</f>
        <v>Publicité, publications, Création de site web</v>
      </c>
      <c r="R809" s="271" t="str">
        <f>VLOOKUP($N809,'2 CODIFICATION'!$G$5:$L$71,4,FALSE)</f>
        <v>chges</v>
      </c>
      <c r="S809" s="271">
        <f>VLOOKUP($N809,'2 CODIFICATION'!$G$5:$L$71,5,FALSE)</f>
        <v>62</v>
      </c>
      <c r="T809" s="270" t="str">
        <f>VLOOKUP($N809,'2 CODIFICATION'!$G$5:$L$71,6,FALSE)</f>
        <v>Autres services extérieurs</v>
      </c>
    </row>
    <row r="810" spans="1:20" ht="31.5" hidden="1">
      <c r="A810" s="201" t="s">
        <v>170</v>
      </c>
      <c r="B810" s="508" t="s">
        <v>79</v>
      </c>
      <c r="D810" s="899">
        <v>45414</v>
      </c>
      <c r="E810" s="900" t="s">
        <v>870</v>
      </c>
      <c r="F810" s="975"/>
      <c r="G810" s="901">
        <v>20</v>
      </c>
      <c r="H810" s="901"/>
      <c r="I810" s="477">
        <f t="shared" si="93"/>
        <v>-3908.4199999999955</v>
      </c>
      <c r="J810" s="466" t="s">
        <v>273</v>
      </c>
      <c r="K810" s="20">
        <f t="shared" si="94"/>
        <v>7581</v>
      </c>
      <c r="L810" s="74" t="str">
        <f>VLOOKUP($J810,'2 CODIFICATION'!A$5:B$21,2,"FAUX")</f>
        <v>ADMINIST ET FONCT</v>
      </c>
      <c r="M810" s="74" t="str">
        <f>VLOOKUP($K810,'2 CODIFICATION'!D$8:E$64,2,"FAUX")</f>
        <v>Adhésions association</v>
      </c>
      <c r="N810" s="74">
        <v>758100</v>
      </c>
      <c r="O810" s="206">
        <f t="shared" si="91"/>
        <v>20</v>
      </c>
      <c r="P810" s="74">
        <f t="shared" si="92"/>
        <v>2024</v>
      </c>
      <c r="Q810" s="270" t="str">
        <f>VLOOKUP($N810,'2 CODIFICATION'!$G$5:$L$71,3,FALSE)</f>
        <v>Cotisations individuelles et associatives</v>
      </c>
      <c r="R810" s="271" t="str">
        <f>VLOOKUP($N810,'2 CODIFICATION'!$G$5:$L$71,4,FALSE)</f>
        <v>pdts</v>
      </c>
      <c r="S810" s="271">
        <f>VLOOKUP($N810,'2 CODIFICATION'!$G$5:$L$71,5,FALSE)</f>
        <v>75</v>
      </c>
      <c r="T810" s="270" t="str">
        <f>VLOOKUP($N810,'2 CODIFICATION'!$G$5:$L$71,6,FALSE)</f>
        <v>Autres produits de gestion courante</v>
      </c>
    </row>
    <row r="811" spans="1:20" hidden="1">
      <c r="A811" s="201" t="s">
        <v>170</v>
      </c>
      <c r="B811" s="508" t="s">
        <v>79</v>
      </c>
      <c r="D811" s="899">
        <v>45415</v>
      </c>
      <c r="E811" s="845" t="s">
        <v>976</v>
      </c>
      <c r="F811" s="975"/>
      <c r="G811" s="901"/>
      <c r="H811" s="901">
        <v>27.47</v>
      </c>
      <c r="I811" s="477">
        <f t="shared" si="93"/>
        <v>-3935.8899999999953</v>
      </c>
      <c r="J811" s="466" t="s">
        <v>527</v>
      </c>
      <c r="K811" s="20">
        <f t="shared" si="94"/>
        <v>6250</v>
      </c>
      <c r="L811" s="74" t="str">
        <f>VLOOKUP($J811,'2 CODIFICATION'!A$5:B$21,2,"FAUX")</f>
        <v>TOILETTES ECOSAN</v>
      </c>
      <c r="M811" s="74" t="str">
        <f>VLOOKUP($K811,'2 CODIFICATION'!D$8:E$64,2,"FAUX")</f>
        <v>déplacements</v>
      </c>
      <c r="N811" s="74">
        <v>625000</v>
      </c>
      <c r="O811" s="206">
        <f t="shared" si="91"/>
        <v>-27.47</v>
      </c>
      <c r="P811" s="74">
        <f t="shared" si="92"/>
        <v>2024</v>
      </c>
      <c r="Q811" s="270" t="str">
        <f>VLOOKUP($N811,'2 CODIFICATION'!$G$5:$L$71,3,FALSE)</f>
        <v>Déplacements, missions et réceptions</v>
      </c>
      <c r="R811" s="271" t="str">
        <f>VLOOKUP($N811,'2 CODIFICATION'!$G$5:$L$71,4,FALSE)</f>
        <v>chges</v>
      </c>
      <c r="S811" s="271">
        <f>VLOOKUP($N811,'2 CODIFICATION'!$G$5:$L$71,5,FALSE)</f>
        <v>62</v>
      </c>
      <c r="T811" s="270" t="str">
        <f>VLOOKUP($N811,'2 CODIFICATION'!$G$5:$L$71,6,FALSE)</f>
        <v>Autres services extérieurs</v>
      </c>
    </row>
    <row r="812" spans="1:20" hidden="1">
      <c r="A812" s="201" t="s">
        <v>170</v>
      </c>
      <c r="B812" s="508" t="s">
        <v>79</v>
      </c>
      <c r="D812" s="1268">
        <v>45428</v>
      </c>
      <c r="E812" s="1273" t="s">
        <v>902</v>
      </c>
      <c r="F812" s="1276"/>
      <c r="G812" s="1281">
        <v>0.47</v>
      </c>
      <c r="H812" s="846"/>
      <c r="I812" s="477">
        <f t="shared" si="93"/>
        <v>-3935.4199999999955</v>
      </c>
      <c r="J812" s="466" t="s">
        <v>273</v>
      </c>
      <c r="K812" s="20">
        <f t="shared" si="94"/>
        <v>7660</v>
      </c>
      <c r="L812" s="74" t="str">
        <f>VLOOKUP($J812,'2 CODIFICATION'!A$5:B$21,2,"FAUX")</f>
        <v>ADMINIST ET FONCT</v>
      </c>
      <c r="M812" s="74" t="str">
        <f>VLOOKUP($K812,'2 CODIFICATION'!D$5:E$64,2,"FAUX")</f>
        <v>Produits financiers</v>
      </c>
      <c r="N812" s="74">
        <v>766000</v>
      </c>
      <c r="O812" s="206">
        <f t="shared" si="91"/>
        <v>0.47</v>
      </c>
      <c r="P812" s="74">
        <f t="shared" si="92"/>
        <v>2024</v>
      </c>
      <c r="Q812" s="270" t="str">
        <f>VLOOKUP($N812,'2 CODIFICATION'!$G$5:$L$71,3,FALSE)</f>
        <v>Produits financiers</v>
      </c>
      <c r="R812" s="271" t="str">
        <f>VLOOKUP($N812,'2 CODIFICATION'!$G$5:$L$71,4,FALSE)</f>
        <v>pdts</v>
      </c>
      <c r="S812" s="271">
        <f>VLOOKUP($N812,'2 CODIFICATION'!$G$5:$L$71,5,FALSE)</f>
        <v>76</v>
      </c>
      <c r="T812" s="270" t="str">
        <f>VLOOKUP($N812,'2 CODIFICATION'!$G$5:$L$71,6,FALSE)</f>
        <v>Produits exceptionnels</v>
      </c>
    </row>
    <row r="813" spans="1:20" hidden="1">
      <c r="A813" s="201" t="s">
        <v>170</v>
      </c>
      <c r="B813" s="508" t="s">
        <v>79</v>
      </c>
      <c r="D813" s="1268">
        <v>45428</v>
      </c>
      <c r="E813" s="845" t="s">
        <v>914</v>
      </c>
      <c r="F813" s="1276"/>
      <c r="G813" s="1281">
        <v>100</v>
      </c>
      <c r="H813" s="846"/>
      <c r="I813" s="477">
        <f t="shared" si="93"/>
        <v>-3835.4199999999955</v>
      </c>
      <c r="J813" s="466" t="s">
        <v>273</v>
      </c>
      <c r="K813" s="20">
        <f t="shared" si="94"/>
        <v>7581</v>
      </c>
      <c r="L813" s="74" t="str">
        <f>VLOOKUP($J813,'2 CODIFICATION'!A$5:B$21,2,"FAUX")</f>
        <v>ADMINIST ET FONCT</v>
      </c>
      <c r="M813" s="74" t="str">
        <f>VLOOKUP($K813,'2 CODIFICATION'!D$5:E$64,2,"FAUX")</f>
        <v>Adhésions association</v>
      </c>
      <c r="N813" s="74">
        <v>758100</v>
      </c>
      <c r="O813" s="206">
        <f t="shared" si="91"/>
        <v>100</v>
      </c>
      <c r="P813" s="74">
        <f t="shared" si="92"/>
        <v>2024</v>
      </c>
      <c r="Q813" s="270" t="str">
        <f>VLOOKUP($N813,'2 CODIFICATION'!$G$5:$L$71,3,FALSE)</f>
        <v>Cotisations individuelles et associatives</v>
      </c>
      <c r="R813" s="271" t="str">
        <f>VLOOKUP($N813,'2 CODIFICATION'!$G$5:$L$71,4,FALSE)</f>
        <v>pdts</v>
      </c>
      <c r="S813" s="271">
        <f>VLOOKUP($N813,'2 CODIFICATION'!$G$5:$L$71,5,FALSE)</f>
        <v>75</v>
      </c>
      <c r="T813" s="270" t="str">
        <f>VLOOKUP($N813,'2 CODIFICATION'!$G$5:$L$71,6,FALSE)</f>
        <v>Autres produits de gestion courante</v>
      </c>
    </row>
    <row r="814" spans="1:20" hidden="1">
      <c r="A814" s="201" t="s">
        <v>170</v>
      </c>
      <c r="B814" s="508" t="s">
        <v>79</v>
      </c>
      <c r="D814" s="1268">
        <v>45428</v>
      </c>
      <c r="E814" s="1273" t="s">
        <v>903</v>
      </c>
      <c r="F814" s="1276"/>
      <c r="G814" s="1281">
        <v>70</v>
      </c>
      <c r="H814" s="846"/>
      <c r="I814" s="477">
        <f t="shared" si="93"/>
        <v>-3765.4199999999955</v>
      </c>
      <c r="J814" s="466" t="s">
        <v>273</v>
      </c>
      <c r="K814" s="20">
        <f t="shared" si="94"/>
        <v>7581</v>
      </c>
      <c r="L814" s="74" t="str">
        <f>VLOOKUP($J814,'2 CODIFICATION'!A$5:B$21,2,"FAUX")</f>
        <v>ADMINIST ET FONCT</v>
      </c>
      <c r="M814" s="74" t="str">
        <f>VLOOKUP($K814,'2 CODIFICATION'!D$5:E$64,2,"FAUX")</f>
        <v>Adhésions association</v>
      </c>
      <c r="N814" s="74">
        <v>758100</v>
      </c>
      <c r="O814" s="206">
        <f t="shared" si="91"/>
        <v>70</v>
      </c>
      <c r="P814" s="74">
        <f t="shared" si="92"/>
        <v>2024</v>
      </c>
      <c r="Q814" s="270" t="str">
        <f>VLOOKUP($N814,'2 CODIFICATION'!$G$5:$L$71,3,FALSE)</f>
        <v>Cotisations individuelles et associatives</v>
      </c>
      <c r="R814" s="271" t="str">
        <f>VLOOKUP($N814,'2 CODIFICATION'!$G$5:$L$71,4,FALSE)</f>
        <v>pdts</v>
      </c>
      <c r="S814" s="271">
        <f>VLOOKUP($N814,'2 CODIFICATION'!$G$5:$L$71,5,FALSE)</f>
        <v>75</v>
      </c>
      <c r="T814" s="270" t="str">
        <f>VLOOKUP($N814,'2 CODIFICATION'!$G$5:$L$71,6,FALSE)</f>
        <v>Autres produits de gestion courante</v>
      </c>
    </row>
    <row r="815" spans="1:20" hidden="1">
      <c r="A815" s="201" t="s">
        <v>170</v>
      </c>
      <c r="B815" s="508" t="s">
        <v>79</v>
      </c>
      <c r="D815" s="1203">
        <v>45434</v>
      </c>
      <c r="E815" s="1209" t="s">
        <v>915</v>
      </c>
      <c r="F815" s="1205"/>
      <c r="G815" s="1205">
        <v>30</v>
      </c>
      <c r="H815" s="846"/>
      <c r="I815" s="477">
        <f t="shared" si="93"/>
        <v>-3735.4199999999955</v>
      </c>
      <c r="J815" s="466" t="s">
        <v>273</v>
      </c>
      <c r="K815" s="20">
        <f t="shared" si="94"/>
        <v>7581</v>
      </c>
      <c r="L815" s="74" t="str">
        <f>VLOOKUP($J815,'2 CODIFICATION'!A$5:B$21,2,"FAUX")</f>
        <v>ADMINIST ET FONCT</v>
      </c>
      <c r="M815" s="74" t="str">
        <f>VLOOKUP($K815,'2 CODIFICATION'!D$5:E$64,2,"FAUX")</f>
        <v>Adhésions association</v>
      </c>
      <c r="N815" s="74">
        <v>758100</v>
      </c>
      <c r="O815" s="206">
        <f t="shared" si="91"/>
        <v>30</v>
      </c>
      <c r="P815" s="74">
        <f t="shared" si="92"/>
        <v>2024</v>
      </c>
      <c r="Q815" s="270" t="str">
        <f>VLOOKUP($N815,'2 CODIFICATION'!$G$5:$L$71,3,FALSE)</f>
        <v>Cotisations individuelles et associatives</v>
      </c>
      <c r="R815" s="271" t="str">
        <f>VLOOKUP($N815,'2 CODIFICATION'!$G$5:$L$71,4,FALSE)</f>
        <v>pdts</v>
      </c>
      <c r="S815" s="271">
        <f>VLOOKUP($N815,'2 CODIFICATION'!$G$5:$L$71,5,FALSE)</f>
        <v>75</v>
      </c>
      <c r="T815" s="270" t="str">
        <f>VLOOKUP($N815,'2 CODIFICATION'!$G$5:$L$71,6,FALSE)</f>
        <v>Autres produits de gestion courante</v>
      </c>
    </row>
    <row r="816" spans="1:20" hidden="1">
      <c r="A816" s="201" t="s">
        <v>170</v>
      </c>
      <c r="B816" s="508" t="s">
        <v>79</v>
      </c>
      <c r="D816" s="1203">
        <v>45443</v>
      </c>
      <c r="E816" s="1204" t="s">
        <v>904</v>
      </c>
      <c r="F816" s="1205"/>
      <c r="G816" s="1205">
        <v>20</v>
      </c>
      <c r="H816" s="846"/>
      <c r="I816" s="477">
        <f t="shared" si="93"/>
        <v>-3715.4199999999955</v>
      </c>
      <c r="J816" s="466" t="s">
        <v>273</v>
      </c>
      <c r="K816" s="20">
        <f t="shared" si="94"/>
        <v>7581</v>
      </c>
      <c r="L816" s="74" t="str">
        <f>VLOOKUP($J816,'2 CODIFICATION'!A$5:B$21,2,"FAUX")</f>
        <v>ADMINIST ET FONCT</v>
      </c>
      <c r="M816" s="74" t="str">
        <f>VLOOKUP($K816,'2 CODIFICATION'!D$5:E$64,2,"FAUX")</f>
        <v>Adhésions association</v>
      </c>
      <c r="N816" s="74">
        <v>758100</v>
      </c>
      <c r="O816" s="206">
        <f t="shared" si="91"/>
        <v>20</v>
      </c>
      <c r="P816" s="74">
        <f t="shared" si="92"/>
        <v>2024</v>
      </c>
      <c r="Q816" s="270" t="str">
        <f>VLOOKUP($N816,'2 CODIFICATION'!$G$5:$L$71,3,FALSE)</f>
        <v>Cotisations individuelles et associatives</v>
      </c>
      <c r="R816" s="271" t="str">
        <f>VLOOKUP($N816,'2 CODIFICATION'!$G$5:$L$71,4,FALSE)</f>
        <v>pdts</v>
      </c>
      <c r="S816" s="271">
        <f>VLOOKUP($N816,'2 CODIFICATION'!$G$5:$L$71,5,FALSE)</f>
        <v>75</v>
      </c>
      <c r="T816" s="270" t="str">
        <f>VLOOKUP($N816,'2 CODIFICATION'!$G$5:$L$71,6,FALSE)</f>
        <v>Autres produits de gestion courante</v>
      </c>
    </row>
    <row r="817" spans="1:20" hidden="1">
      <c r="A817" s="201" t="s">
        <v>170</v>
      </c>
      <c r="B817" s="508" t="s">
        <v>79</v>
      </c>
      <c r="D817" s="1269">
        <v>45467</v>
      </c>
      <c r="E817" s="1209" t="s">
        <v>897</v>
      </c>
      <c r="F817" s="1277"/>
      <c r="G817" s="1282">
        <v>1827.72</v>
      </c>
      <c r="H817" s="846"/>
      <c r="I817" s="477">
        <f t="shared" si="93"/>
        <v>-1887.6999999999955</v>
      </c>
      <c r="J817" s="466" t="s">
        <v>527</v>
      </c>
      <c r="K817" s="20">
        <f t="shared" si="94"/>
        <v>4500</v>
      </c>
      <c r="L817" s="74" t="str">
        <f>VLOOKUP($J817,'2 CODIFICATION'!A$5:B$21,2,"FAUX")</f>
        <v>TOILETTES ECOSAN</v>
      </c>
      <c r="M817" s="74" t="str">
        <f>VLOOKUP($K817,'2 CODIFICATION'!D$5:E$64,2,"FAUX")</f>
        <v>Compte courant</v>
      </c>
      <c r="N817" s="74">
        <v>450000</v>
      </c>
      <c r="O817" s="206">
        <f t="shared" si="91"/>
        <v>1827.72</v>
      </c>
      <c r="P817" s="74">
        <f t="shared" si="92"/>
        <v>2024</v>
      </c>
      <c r="Q817" s="270" t="str">
        <f>VLOOKUP($N817,'2 CODIFICATION'!$G$5:$L$71,3,FALSE)</f>
        <v>Compte courant</v>
      </c>
      <c r="R817" s="271" t="str">
        <f>VLOOKUP($N817,'2 CODIFICATION'!$G$5:$L$71,4,FALSE)</f>
        <v>bilan</v>
      </c>
      <c r="S817" s="271">
        <f>VLOOKUP($N817,'2 CODIFICATION'!$G$5:$L$71,5,FALSE)</f>
        <v>45</v>
      </c>
      <c r="T817" s="270" t="str">
        <f>VLOOKUP($N817,'2 CODIFICATION'!$G$5:$L$71,6,FALSE)</f>
        <v>Compte courant</v>
      </c>
    </row>
    <row r="818" spans="1:20" hidden="1">
      <c r="A818" s="201" t="s">
        <v>170</v>
      </c>
      <c r="B818" s="508" t="s">
        <v>79</v>
      </c>
      <c r="D818" s="1269">
        <v>45467</v>
      </c>
      <c r="E818" s="1209" t="s">
        <v>898</v>
      </c>
      <c r="F818" s="1277"/>
      <c r="G818" s="1282">
        <v>169.39</v>
      </c>
      <c r="H818" s="846"/>
      <c r="I818" s="477">
        <f t="shared" si="93"/>
        <v>-1718.3099999999954</v>
      </c>
      <c r="J818" s="466" t="s">
        <v>527</v>
      </c>
      <c r="K818" s="20">
        <f t="shared" si="94"/>
        <v>4500</v>
      </c>
      <c r="L818" s="74" t="str">
        <f>VLOOKUP($J818,'2 CODIFICATION'!A$5:B$21,2,"FAUX")</f>
        <v>TOILETTES ECOSAN</v>
      </c>
      <c r="M818" s="74" t="str">
        <f>VLOOKUP($K818,'2 CODIFICATION'!D$5:E$64,2,"FAUX")</f>
        <v>Compte courant</v>
      </c>
      <c r="N818" s="74">
        <v>450000</v>
      </c>
      <c r="O818" s="206">
        <f t="shared" si="91"/>
        <v>169.39</v>
      </c>
      <c r="P818" s="74">
        <f t="shared" si="92"/>
        <v>2024</v>
      </c>
      <c r="Q818" s="270" t="str">
        <f>VLOOKUP($N818,'2 CODIFICATION'!$G$5:$L$71,3,FALSE)</f>
        <v>Compte courant</v>
      </c>
      <c r="R818" s="271" t="str">
        <f>VLOOKUP($N818,'2 CODIFICATION'!$G$5:$L$71,4,FALSE)</f>
        <v>bilan</v>
      </c>
      <c r="S818" s="271">
        <f>VLOOKUP($N818,'2 CODIFICATION'!$G$5:$L$71,5,FALSE)</f>
        <v>45</v>
      </c>
      <c r="T818" s="270" t="str">
        <f>VLOOKUP($N818,'2 CODIFICATION'!$G$5:$L$71,6,FALSE)</f>
        <v>Compte courant</v>
      </c>
    </row>
    <row r="819" spans="1:20" hidden="1">
      <c r="A819" s="201" t="s">
        <v>170</v>
      </c>
      <c r="B819" s="508" t="s">
        <v>79</v>
      </c>
      <c r="D819" s="1269">
        <v>45467</v>
      </c>
      <c r="E819" s="1209" t="s">
        <v>899</v>
      </c>
      <c r="F819" s="1277"/>
      <c r="G819" s="1282">
        <v>2783.3399999999997</v>
      </c>
      <c r="H819" s="846"/>
      <c r="I819" s="477">
        <f t="shared" si="93"/>
        <v>1065.0300000000043</v>
      </c>
      <c r="J819" s="466" t="s">
        <v>527</v>
      </c>
      <c r="K819" s="20">
        <f t="shared" si="94"/>
        <v>4500</v>
      </c>
      <c r="L819" s="74" t="str">
        <f>VLOOKUP($J819,'2 CODIFICATION'!A$5:B$21,2,"FAUX")</f>
        <v>TOILETTES ECOSAN</v>
      </c>
      <c r="M819" s="74" t="str">
        <f>VLOOKUP($K819,'2 CODIFICATION'!D$5:E$64,2,"FAUX")</f>
        <v>Compte courant</v>
      </c>
      <c r="N819" s="74">
        <v>450000</v>
      </c>
      <c r="O819" s="206">
        <f t="shared" si="91"/>
        <v>2783.3399999999997</v>
      </c>
      <c r="P819" s="74">
        <f t="shared" si="92"/>
        <v>2024</v>
      </c>
      <c r="Q819" s="270" t="str">
        <f>VLOOKUP($N819,'2 CODIFICATION'!$G$5:$L$71,3,FALSE)</f>
        <v>Compte courant</v>
      </c>
      <c r="R819" s="271" t="str">
        <f>VLOOKUP($N819,'2 CODIFICATION'!$G$5:$L$71,4,FALSE)</f>
        <v>bilan</v>
      </c>
      <c r="S819" s="271">
        <f>VLOOKUP($N819,'2 CODIFICATION'!$G$5:$L$71,5,FALSE)</f>
        <v>45</v>
      </c>
      <c r="T819" s="270" t="str">
        <f>VLOOKUP($N819,'2 CODIFICATION'!$G$5:$L$71,6,FALSE)</f>
        <v>Compte courant</v>
      </c>
    </row>
    <row r="820" spans="1:20" ht="21.5" hidden="1">
      <c r="A820" s="201" t="s">
        <v>170</v>
      </c>
      <c r="B820" s="508" t="s">
        <v>79</v>
      </c>
      <c r="D820" s="1203">
        <v>45468</v>
      </c>
      <c r="E820" s="1204" t="s">
        <v>631</v>
      </c>
      <c r="F820" s="1205"/>
      <c r="G820" s="1205"/>
      <c r="H820" s="1281">
        <v>20.25</v>
      </c>
      <c r="I820" s="477">
        <f t="shared" si="93"/>
        <v>1044.7800000000043</v>
      </c>
      <c r="J820" s="466" t="s">
        <v>273</v>
      </c>
      <c r="K820" s="20">
        <f t="shared" si="94"/>
        <v>6261</v>
      </c>
      <c r="L820" s="74" t="str">
        <f>VLOOKUP($J820,'2 CODIFICATION'!A$5:B$21,2,"FAUX")</f>
        <v>ADMINIST ET FONCT</v>
      </c>
      <c r="M820" s="74" t="str">
        <f>VLOOKUP($K820,'2 CODIFICATION'!D$5:E$64,2,"FAUX")</f>
        <v>Frais d'envoi</v>
      </c>
      <c r="N820" s="74">
        <v>626100</v>
      </c>
      <c r="O820" s="206">
        <f t="shared" si="91"/>
        <v>-20.25</v>
      </c>
      <c r="P820" s="74">
        <f t="shared" si="92"/>
        <v>2024</v>
      </c>
      <c r="Q820" s="270" t="str">
        <f>VLOOKUP($N820,'2 CODIFICATION'!$G$5:$L$71,3,FALSE)</f>
        <v>Frais postaux</v>
      </c>
      <c r="R820" s="271" t="str">
        <f>VLOOKUP($N820,'2 CODIFICATION'!$G$5:$L$71,4,FALSE)</f>
        <v>chges</v>
      </c>
      <c r="S820" s="271">
        <f>VLOOKUP($N820,'2 CODIFICATION'!$G$5:$L$71,5,FALSE)</f>
        <v>62</v>
      </c>
      <c r="T820" s="270" t="str">
        <f>VLOOKUP($N820,'2 CODIFICATION'!$G$5:$L$71,6,FALSE)</f>
        <v>Autres services extérieurs</v>
      </c>
    </row>
    <row r="821" spans="1:20" ht="21.5" hidden="1">
      <c r="A821" s="201" t="s">
        <v>170</v>
      </c>
      <c r="B821" s="508" t="s">
        <v>79</v>
      </c>
      <c r="D821" s="1203">
        <v>45468</v>
      </c>
      <c r="E821" s="1204" t="s">
        <v>918</v>
      </c>
      <c r="F821" s="1205"/>
      <c r="G821" s="1205"/>
      <c r="H821" s="1281">
        <v>300</v>
      </c>
      <c r="I821" s="477">
        <f t="shared" si="93"/>
        <v>744.78000000000429</v>
      </c>
      <c r="J821" s="466" t="s">
        <v>273</v>
      </c>
      <c r="K821" s="20">
        <f t="shared" si="94"/>
        <v>6110</v>
      </c>
      <c r="L821" s="74" t="str">
        <f>VLOOKUP($J821,'2 CODIFICATION'!A$5:B$21,2,"FAUX")</f>
        <v>ADMINIST ET FONCT</v>
      </c>
      <c r="M821" s="74" t="str">
        <f>VLOOKUP($K821,'2 CODIFICATION'!D$5:E$64,2,"FAUX")</f>
        <v>Sous traitance projet</v>
      </c>
      <c r="N821" s="74">
        <v>611000</v>
      </c>
      <c r="O821" s="206">
        <f t="shared" si="91"/>
        <v>-300</v>
      </c>
      <c r="P821" s="74">
        <f t="shared" si="92"/>
        <v>2024</v>
      </c>
      <c r="Q821" s="270" t="str">
        <f>VLOOKUP($N821,'2 CODIFICATION'!$G$5:$L$71,3,FALSE)</f>
        <v xml:space="preserve">Sous-traitance générale </v>
      </c>
      <c r="R821" s="271" t="str">
        <f>VLOOKUP($N821,'2 CODIFICATION'!$G$5:$L$71,4,FALSE)</f>
        <v>chges</v>
      </c>
      <c r="S821" s="271">
        <f>VLOOKUP($N821,'2 CODIFICATION'!$G$5:$L$71,5,FALSE)</f>
        <v>61</v>
      </c>
      <c r="T821" s="270" t="str">
        <f>VLOOKUP($N821,'2 CODIFICATION'!$G$5:$L$71,6,FALSE)</f>
        <v>Services extérieurs</v>
      </c>
    </row>
    <row r="822" spans="1:20" ht="21.5" hidden="1">
      <c r="A822" s="201" t="s">
        <v>170</v>
      </c>
      <c r="B822" s="508" t="s">
        <v>79</v>
      </c>
      <c r="D822" s="1203">
        <v>45468</v>
      </c>
      <c r="E822" s="1204" t="s">
        <v>919</v>
      </c>
      <c r="F822" s="1205"/>
      <c r="G822" s="1205">
        <v>1000</v>
      </c>
      <c r="H822" s="1282"/>
      <c r="I822" s="477">
        <f t="shared" si="93"/>
        <v>1744.7800000000043</v>
      </c>
      <c r="J822" s="466" t="s">
        <v>273</v>
      </c>
      <c r="K822" s="20">
        <f t="shared" si="94"/>
        <v>7771</v>
      </c>
      <c r="L822" s="74" t="str">
        <f>VLOOKUP($J822,'2 CODIFICATION'!A$5:B$21,2,"FAUX")</f>
        <v>ADMINIST ET FONCT</v>
      </c>
      <c r="M822" s="74" t="str">
        <f>VLOOKUP($K822,'2 CODIFICATION'!D$5:E$64,2,"FAUX")</f>
        <v>Dons et participations à l"association</v>
      </c>
      <c r="N822" s="74">
        <v>777100</v>
      </c>
      <c r="O822" s="206">
        <f t="shared" si="91"/>
        <v>1000</v>
      </c>
      <c r="P822" s="74">
        <f t="shared" si="92"/>
        <v>2024</v>
      </c>
      <c r="Q822" s="270" t="str">
        <f>VLOOKUP($N822,'2 CODIFICATION'!$G$5:$L$71,3,FALSE)</f>
        <v>Dons et autres mises à dispositions gratuites</v>
      </c>
      <c r="R822" s="271" t="str">
        <f>VLOOKUP($N822,'2 CODIFICATION'!$G$5:$L$71,4,FALSE)</f>
        <v>pdts</v>
      </c>
      <c r="S822" s="271">
        <f>VLOOKUP($N822,'2 CODIFICATION'!$G$5:$L$71,5,FALSE)</f>
        <v>77</v>
      </c>
      <c r="T822" s="270" t="str">
        <f>VLOOKUP($N822,'2 CODIFICATION'!$G$5:$L$71,6,FALSE)</f>
        <v>Produits exceptionnels</v>
      </c>
    </row>
    <row r="823" spans="1:20" ht="31.5" hidden="1">
      <c r="A823" s="201" t="s">
        <v>170</v>
      </c>
      <c r="B823" s="508" t="s">
        <v>79</v>
      </c>
      <c r="D823" s="1203">
        <v>45468</v>
      </c>
      <c r="E823" s="1204" t="s">
        <v>920</v>
      </c>
      <c r="F823" s="1205"/>
      <c r="G823" s="1205">
        <v>315</v>
      </c>
      <c r="H823" s="1282"/>
      <c r="I823" s="477">
        <f t="shared" si="93"/>
        <v>2059.7800000000043</v>
      </c>
      <c r="J823" s="466" t="s">
        <v>273</v>
      </c>
      <c r="K823" s="20">
        <f t="shared" si="94"/>
        <v>7771</v>
      </c>
      <c r="L823" s="74" t="str">
        <f>VLOOKUP($J823,'2 CODIFICATION'!A$5:B$21,2,"FAUX")</f>
        <v>ADMINIST ET FONCT</v>
      </c>
      <c r="M823" s="74" t="str">
        <f>VLOOKUP($K823,'2 CODIFICATION'!D$5:E$64,2,"FAUX")</f>
        <v>Dons et participations à l"association</v>
      </c>
      <c r="N823" s="74">
        <v>777100</v>
      </c>
      <c r="O823" s="206">
        <f t="shared" si="91"/>
        <v>315</v>
      </c>
      <c r="P823" s="74">
        <f t="shared" si="92"/>
        <v>2024</v>
      </c>
      <c r="Q823" s="270" t="str">
        <f>VLOOKUP($N823,'2 CODIFICATION'!$G$5:$L$71,3,FALSE)</f>
        <v>Dons et autres mises à dispositions gratuites</v>
      </c>
      <c r="R823" s="271" t="str">
        <f>VLOOKUP($N823,'2 CODIFICATION'!$G$5:$L$71,4,FALSE)</f>
        <v>pdts</v>
      </c>
      <c r="S823" s="271">
        <f>VLOOKUP($N823,'2 CODIFICATION'!$G$5:$L$71,5,FALSE)</f>
        <v>77</v>
      </c>
      <c r="T823" s="270" t="str">
        <f>VLOOKUP($N823,'2 CODIFICATION'!$G$5:$L$71,6,FALSE)</f>
        <v>Produits exceptionnels</v>
      </c>
    </row>
    <row r="824" spans="1:20" ht="31.5" hidden="1">
      <c r="A824" s="201" t="s">
        <v>170</v>
      </c>
      <c r="B824" s="508" t="s">
        <v>79</v>
      </c>
      <c r="D824" s="1203">
        <v>45475</v>
      </c>
      <c r="E824" s="1209" t="s">
        <v>924</v>
      </c>
      <c r="F824" s="1205"/>
      <c r="G824" s="1205">
        <v>20</v>
      </c>
      <c r="H824" s="846"/>
      <c r="I824" s="477">
        <f t="shared" si="93"/>
        <v>2079.7800000000043</v>
      </c>
      <c r="J824" s="466" t="s">
        <v>273</v>
      </c>
      <c r="K824" s="20">
        <f t="shared" si="94"/>
        <v>7581</v>
      </c>
      <c r="L824" s="74" t="str">
        <f>VLOOKUP($J824,'2 CODIFICATION'!A$5:B$21,2,"FAUX")</f>
        <v>ADMINIST ET FONCT</v>
      </c>
      <c r="M824" s="74" t="str">
        <f>VLOOKUP($K824,'2 CODIFICATION'!D$5:E$64,2,"FAUX")</f>
        <v>Adhésions association</v>
      </c>
      <c r="N824" s="74">
        <v>758100</v>
      </c>
      <c r="O824" s="206">
        <f t="shared" si="91"/>
        <v>20</v>
      </c>
      <c r="P824" s="74">
        <f t="shared" si="92"/>
        <v>2024</v>
      </c>
      <c r="Q824" s="270" t="str">
        <f>VLOOKUP($N824,'2 CODIFICATION'!$G$5:$L$71,3,FALSE)</f>
        <v>Cotisations individuelles et associatives</v>
      </c>
      <c r="R824" s="271" t="str">
        <f>VLOOKUP($N824,'2 CODIFICATION'!$G$5:$L$71,4,FALSE)</f>
        <v>pdts</v>
      </c>
      <c r="S824" s="271">
        <f>VLOOKUP($N824,'2 CODIFICATION'!$G$5:$L$71,5,FALSE)</f>
        <v>75</v>
      </c>
      <c r="T824" s="270" t="str">
        <f>VLOOKUP($N824,'2 CODIFICATION'!$G$5:$L$71,6,FALSE)</f>
        <v>Autres produits de gestion courante</v>
      </c>
    </row>
    <row r="825" spans="1:20" ht="31.5" hidden="1">
      <c r="A825" s="201" t="s">
        <v>170</v>
      </c>
      <c r="B825" s="508" t="s">
        <v>79</v>
      </c>
      <c r="D825" s="1203">
        <v>45504</v>
      </c>
      <c r="E825" s="1204" t="s">
        <v>917</v>
      </c>
      <c r="F825" s="1205"/>
      <c r="G825" s="1205">
        <v>20</v>
      </c>
      <c r="H825" s="846"/>
      <c r="I825" s="477">
        <f t="shared" si="93"/>
        <v>2099.7800000000043</v>
      </c>
      <c r="J825" s="466" t="s">
        <v>273</v>
      </c>
      <c r="K825" s="20">
        <f t="shared" si="94"/>
        <v>7581</v>
      </c>
      <c r="L825" s="74" t="str">
        <f>VLOOKUP($J825,'2 CODIFICATION'!A$5:B$21,2,"FAUX")</f>
        <v>ADMINIST ET FONCT</v>
      </c>
      <c r="M825" s="74" t="str">
        <f>VLOOKUP($K825,'2 CODIFICATION'!D$5:E$64,2,"FAUX")</f>
        <v>Adhésions association</v>
      </c>
      <c r="N825" s="74">
        <v>758100</v>
      </c>
      <c r="O825" s="206">
        <f t="shared" si="91"/>
        <v>20</v>
      </c>
      <c r="P825" s="74">
        <f t="shared" si="92"/>
        <v>2024</v>
      </c>
      <c r="Q825" s="270" t="str">
        <f>VLOOKUP($N825,'2 CODIFICATION'!$G$5:$L$71,3,FALSE)</f>
        <v>Cotisations individuelles et associatives</v>
      </c>
      <c r="R825" s="271" t="str">
        <f>VLOOKUP($N825,'2 CODIFICATION'!$G$5:$L$71,4,FALSE)</f>
        <v>pdts</v>
      </c>
      <c r="S825" s="271">
        <f>VLOOKUP($N825,'2 CODIFICATION'!$G$5:$L$71,5,FALSE)</f>
        <v>75</v>
      </c>
      <c r="T825" s="270" t="str">
        <f>VLOOKUP($N825,'2 CODIFICATION'!$G$5:$L$71,6,FALSE)</f>
        <v>Autres produits de gestion courante</v>
      </c>
    </row>
    <row r="826" spans="1:20" hidden="1">
      <c r="A826" s="201" t="s">
        <v>170</v>
      </c>
      <c r="B826" s="508" t="s">
        <v>79</v>
      </c>
      <c r="D826" s="1259">
        <v>45545</v>
      </c>
      <c r="E826" s="1292" t="s">
        <v>937</v>
      </c>
      <c r="F826" s="1258"/>
      <c r="G826" s="1261">
        <v>65</v>
      </c>
      <c r="H826" s="1263"/>
      <c r="I826" s="477">
        <f>+I825+G826-H826</f>
        <v>2164.7800000000043</v>
      </c>
      <c r="J826" s="466" t="s">
        <v>273</v>
      </c>
      <c r="K826" s="20">
        <f t="shared" si="94"/>
        <v>7770</v>
      </c>
      <c r="L826" s="74" t="str">
        <f>VLOOKUP($J826,'2 CODIFICATION'!A$5:B$21,2,"FAUX")</f>
        <v>ADMINIST ET FONCT</v>
      </c>
      <c r="M826" s="74" t="str">
        <f>VLOOKUP($K826,'2 CODIFICATION'!D$5:E$64,2,"FAUX")</f>
        <v>Produits exceptionnels</v>
      </c>
      <c r="N826" s="74">
        <v>777000</v>
      </c>
      <c r="O826" s="206">
        <f t="shared" si="91"/>
        <v>65</v>
      </c>
      <c r="P826" s="74">
        <f t="shared" si="92"/>
        <v>2024</v>
      </c>
      <c r="Q826" s="270" t="str">
        <f>VLOOKUP($N826,'2 CODIFICATION'!$G$5:$L$71,3,FALSE)</f>
        <v>Produits exceptionnels</v>
      </c>
      <c r="R826" s="271" t="str">
        <f>VLOOKUP($N826,'2 CODIFICATION'!$G$5:$L$71,4,FALSE)</f>
        <v>pdts</v>
      </c>
      <c r="S826" s="271">
        <f>VLOOKUP($N826,'2 CODIFICATION'!$G$5:$L$71,5,FALSE)</f>
        <v>77</v>
      </c>
      <c r="T826" s="270" t="str">
        <f>VLOOKUP($N826,'2 CODIFICATION'!$G$5:$L$71,6,FALSE)</f>
        <v>Produits exceptionnels</v>
      </c>
    </row>
    <row r="827" spans="1:20" hidden="1">
      <c r="A827" s="201" t="s">
        <v>170</v>
      </c>
      <c r="B827" s="508" t="s">
        <v>79</v>
      </c>
      <c r="D827" s="1259">
        <v>45547</v>
      </c>
      <c r="E827" s="1257" t="s">
        <v>938</v>
      </c>
      <c r="F827" s="1258"/>
      <c r="G827" s="1261"/>
      <c r="H827" s="1322">
        <v>20.25</v>
      </c>
      <c r="I827" s="477">
        <f t="shared" ref="I827:I859" si="95">+I826+G827-H827</f>
        <v>2144.5300000000043</v>
      </c>
      <c r="J827" s="466" t="s">
        <v>273</v>
      </c>
      <c r="K827" s="20">
        <f t="shared" si="94"/>
        <v>6270</v>
      </c>
      <c r="L827" s="74" t="str">
        <f>VLOOKUP($J827,'2 CODIFICATION'!A$5:B$21,2,"FAUX")</f>
        <v>ADMINIST ET FONCT</v>
      </c>
      <c r="M827" s="74" t="str">
        <f>VLOOKUP($K827,'2 CODIFICATION'!D$5:E$64,2,"FAUX")</f>
        <v>Frais de banque</v>
      </c>
      <c r="N827" s="74">
        <v>627000</v>
      </c>
      <c r="O827" s="206">
        <f t="shared" si="91"/>
        <v>-20.25</v>
      </c>
      <c r="P827" s="74">
        <f t="shared" si="92"/>
        <v>2024</v>
      </c>
      <c r="Q827" s="270" t="str">
        <f>VLOOKUP($N827,'2 CODIFICATION'!$G$5:$L$71,3,FALSE)</f>
        <v>Frais bancaires</v>
      </c>
      <c r="R827" s="271" t="str">
        <f>VLOOKUP($N827,'2 CODIFICATION'!$G$5:$L$71,4,FALSE)</f>
        <v>chges</v>
      </c>
      <c r="S827" s="271">
        <f>VLOOKUP($N827,'2 CODIFICATION'!$G$5:$L$71,5,FALSE)</f>
        <v>62</v>
      </c>
      <c r="T827" s="270" t="str">
        <f>VLOOKUP($N827,'2 CODIFICATION'!$G$5:$L$71,6,FALSE)</f>
        <v>Autres services extérieurs</v>
      </c>
    </row>
    <row r="828" spans="1:20" hidden="1">
      <c r="A828" s="201" t="s">
        <v>170</v>
      </c>
      <c r="B828" s="508" t="s">
        <v>79</v>
      </c>
      <c r="D828" s="1259">
        <v>45547</v>
      </c>
      <c r="E828" s="1257" t="s">
        <v>939</v>
      </c>
      <c r="F828" s="1258"/>
      <c r="G828" s="1261"/>
      <c r="H828" s="1263">
        <v>300</v>
      </c>
      <c r="I828" s="477">
        <f t="shared" si="95"/>
        <v>1844.5300000000043</v>
      </c>
      <c r="J828" s="466" t="s">
        <v>273</v>
      </c>
      <c r="K828" s="20">
        <f t="shared" si="94"/>
        <v>6110</v>
      </c>
      <c r="L828" s="74" t="str">
        <f>VLOOKUP($J828,'2 CODIFICATION'!A$5:B$21,2,"FAUX")</f>
        <v>ADMINIST ET FONCT</v>
      </c>
      <c r="M828" s="74" t="str">
        <f>VLOOKUP($K828,'2 CODIFICATION'!D$5:E$64,2,"FAUX")</f>
        <v>Sous traitance projet</v>
      </c>
      <c r="N828" s="74">
        <v>611000</v>
      </c>
      <c r="O828" s="206">
        <f t="shared" si="91"/>
        <v>-300</v>
      </c>
      <c r="P828" s="74">
        <f t="shared" si="92"/>
        <v>2024</v>
      </c>
      <c r="Q828" s="270" t="str">
        <f>VLOOKUP($N828,'2 CODIFICATION'!$G$5:$L$71,3,FALSE)</f>
        <v xml:space="preserve">Sous-traitance générale </v>
      </c>
      <c r="R828" s="271" t="str">
        <f>VLOOKUP($N828,'2 CODIFICATION'!$G$5:$L$71,4,FALSE)</f>
        <v>chges</v>
      </c>
      <c r="S828" s="271">
        <f>VLOOKUP($N828,'2 CODIFICATION'!$G$5:$L$71,5,FALSE)</f>
        <v>61</v>
      </c>
      <c r="T828" s="270" t="str">
        <f>VLOOKUP($N828,'2 CODIFICATION'!$G$5:$L$71,6,FALSE)</f>
        <v>Services extérieurs</v>
      </c>
    </row>
    <row r="829" spans="1:20" hidden="1">
      <c r="A829" s="201" t="s">
        <v>170</v>
      </c>
      <c r="B829" s="508" t="s">
        <v>79</v>
      </c>
      <c r="D829" s="1259">
        <v>45547</v>
      </c>
      <c r="E829" s="1257" t="s">
        <v>940</v>
      </c>
      <c r="F829" s="1258"/>
      <c r="G829" s="1261">
        <v>315</v>
      </c>
      <c r="H829" s="1263"/>
      <c r="I829" s="477">
        <f t="shared" si="95"/>
        <v>2159.5300000000043</v>
      </c>
      <c r="J829" s="466" t="s">
        <v>273</v>
      </c>
      <c r="K829" s="20">
        <f t="shared" si="94"/>
        <v>7771</v>
      </c>
      <c r="L829" s="74" t="str">
        <f>VLOOKUP($J829,'2 CODIFICATION'!A$5:B$21,2,"FAUX")</f>
        <v>ADMINIST ET FONCT</v>
      </c>
      <c r="M829" s="74" t="str">
        <f>VLOOKUP($K829,'2 CODIFICATION'!D$5:E$64,2,"FAUX")</f>
        <v>Dons et participations à l"association</v>
      </c>
      <c r="N829" s="74">
        <v>777100</v>
      </c>
      <c r="O829" s="206">
        <f t="shared" si="91"/>
        <v>315</v>
      </c>
      <c r="P829" s="74">
        <f t="shared" si="92"/>
        <v>2024</v>
      </c>
      <c r="Q829" s="270" t="str">
        <f>VLOOKUP($N829,'2 CODIFICATION'!$G$5:$L$71,3,FALSE)</f>
        <v>Dons et autres mises à dispositions gratuites</v>
      </c>
      <c r="R829" s="271" t="str">
        <f>VLOOKUP($N829,'2 CODIFICATION'!$G$5:$L$71,4,FALSE)</f>
        <v>pdts</v>
      </c>
      <c r="S829" s="271">
        <f>VLOOKUP($N829,'2 CODIFICATION'!$G$5:$L$71,5,FALSE)</f>
        <v>77</v>
      </c>
      <c r="T829" s="270" t="str">
        <f>VLOOKUP($N829,'2 CODIFICATION'!$G$5:$L$71,6,FALSE)</f>
        <v>Produits exceptionnels</v>
      </c>
    </row>
    <row r="830" spans="1:20" hidden="1">
      <c r="A830" s="201" t="s">
        <v>170</v>
      </c>
      <c r="B830" s="508" t="s">
        <v>79</v>
      </c>
      <c r="D830" s="1259">
        <v>45562</v>
      </c>
      <c r="E830" s="1257" t="s">
        <v>941</v>
      </c>
      <c r="F830" s="1258"/>
      <c r="G830" s="1261">
        <v>200</v>
      </c>
      <c r="H830" s="1263"/>
      <c r="I830" s="477">
        <f t="shared" si="95"/>
        <v>2359.5300000000043</v>
      </c>
      <c r="J830" s="466" t="s">
        <v>273</v>
      </c>
      <c r="K830" s="20">
        <f t="shared" si="94"/>
        <v>7581</v>
      </c>
      <c r="L830" s="74" t="str">
        <f>VLOOKUP($J830,'2 CODIFICATION'!A$5:B$21,2,"FAUX")</f>
        <v>ADMINIST ET FONCT</v>
      </c>
      <c r="M830" s="74" t="str">
        <f>VLOOKUP($K830,'2 CODIFICATION'!D$5:E$64,2,"FAUX")</f>
        <v>Adhésions association</v>
      </c>
      <c r="N830" s="74">
        <v>758100</v>
      </c>
      <c r="O830" s="206">
        <f t="shared" si="91"/>
        <v>200</v>
      </c>
      <c r="P830" s="74">
        <f t="shared" si="92"/>
        <v>2024</v>
      </c>
      <c r="Q830" s="270" t="str">
        <f>VLOOKUP($N830,'2 CODIFICATION'!$G$5:$L$71,3,FALSE)</f>
        <v>Cotisations individuelles et associatives</v>
      </c>
      <c r="R830" s="271" t="str">
        <f>VLOOKUP($N830,'2 CODIFICATION'!$G$5:$L$71,4,FALSE)</f>
        <v>pdts</v>
      </c>
      <c r="S830" s="271">
        <f>VLOOKUP($N830,'2 CODIFICATION'!$G$5:$L$71,5,FALSE)</f>
        <v>75</v>
      </c>
      <c r="T830" s="270" t="str">
        <f>VLOOKUP($N830,'2 CODIFICATION'!$G$5:$L$71,6,FALSE)</f>
        <v>Autres produits de gestion courante</v>
      </c>
    </row>
    <row r="831" spans="1:20" hidden="1">
      <c r="A831" s="201" t="s">
        <v>170</v>
      </c>
      <c r="B831" s="508" t="s">
        <v>79</v>
      </c>
      <c r="D831" s="1259">
        <v>45566</v>
      </c>
      <c r="E831" s="1257" t="s">
        <v>942</v>
      </c>
      <c r="F831" s="1263"/>
      <c r="G831" s="1263">
        <v>40</v>
      </c>
      <c r="H831" s="1263"/>
      <c r="I831" s="477">
        <f>+I829+G831-H831</f>
        <v>2199.5300000000043</v>
      </c>
      <c r="J831" s="466" t="s">
        <v>273</v>
      </c>
      <c r="K831" s="20">
        <f t="shared" ref="K831" si="96">N831/100</f>
        <v>7581</v>
      </c>
      <c r="L831" s="74" t="str">
        <f>VLOOKUP($J831,'2 CODIFICATION'!A$5:B$21,2,"FAUX")</f>
        <v>ADMINIST ET FONCT</v>
      </c>
      <c r="M831" s="74" t="str">
        <f>VLOOKUP($K831,'2 CODIFICATION'!D$5:E$64,2,"FAUX")</f>
        <v>Adhésions association</v>
      </c>
      <c r="N831" s="74">
        <v>758100</v>
      </c>
      <c r="O831" s="206">
        <f t="shared" ref="O831" si="97">G831-H831</f>
        <v>40</v>
      </c>
      <c r="P831" s="74">
        <f t="shared" ref="P831" si="98">YEAR(D831)</f>
        <v>2024</v>
      </c>
      <c r="Q831" s="270" t="str">
        <f>VLOOKUP($N831,'2 CODIFICATION'!$G$5:$L$71,3,FALSE)</f>
        <v>Cotisations individuelles et associatives</v>
      </c>
      <c r="R831" s="271" t="str">
        <f>VLOOKUP($N831,'2 CODIFICATION'!$G$5:$L$71,4,FALSE)</f>
        <v>pdts</v>
      </c>
      <c r="S831" s="271">
        <f>VLOOKUP($N831,'2 CODIFICATION'!$G$5:$L$71,5,FALSE)</f>
        <v>75</v>
      </c>
      <c r="T831" s="270" t="str">
        <f>VLOOKUP($N831,'2 CODIFICATION'!$G$5:$L$71,6,FALSE)</f>
        <v>Autres produits de gestion courante</v>
      </c>
    </row>
    <row r="832" spans="1:20" hidden="1">
      <c r="A832" s="201" t="s">
        <v>170</v>
      </c>
      <c r="B832" s="508" t="s">
        <v>79</v>
      </c>
      <c r="D832" s="1259">
        <v>45566</v>
      </c>
      <c r="E832" s="1257" t="s">
        <v>942</v>
      </c>
      <c r="F832" s="1258"/>
      <c r="G832" s="1261"/>
      <c r="H832" s="1263">
        <v>0.63</v>
      </c>
      <c r="I832" s="477">
        <f>+I830+G832-H832</f>
        <v>2358.9000000000042</v>
      </c>
      <c r="J832" s="466" t="s">
        <v>273</v>
      </c>
      <c r="K832" s="20">
        <f t="shared" si="94"/>
        <v>6270</v>
      </c>
      <c r="L832" s="74" t="str">
        <f>VLOOKUP($J832,'2 CODIFICATION'!A$5:B$21,2,"FAUX")</f>
        <v>ADMINIST ET FONCT</v>
      </c>
      <c r="M832" s="74" t="str">
        <f>VLOOKUP($K832,'2 CODIFICATION'!D$5:E$64,2,"FAUX")</f>
        <v>Frais de banque</v>
      </c>
      <c r="N832" s="74">
        <v>627000</v>
      </c>
      <c r="O832" s="206">
        <f t="shared" si="91"/>
        <v>-0.63</v>
      </c>
      <c r="P832" s="74">
        <f t="shared" si="92"/>
        <v>2024</v>
      </c>
      <c r="Q832" s="270" t="str">
        <f>VLOOKUP($N832,'2 CODIFICATION'!$G$5:$L$71,3,FALSE)</f>
        <v>Frais bancaires</v>
      </c>
      <c r="R832" s="271" t="str">
        <f>VLOOKUP($N832,'2 CODIFICATION'!$G$5:$L$71,4,FALSE)</f>
        <v>chges</v>
      </c>
      <c r="S832" s="271">
        <f>VLOOKUP($N832,'2 CODIFICATION'!$G$5:$L$71,5,FALSE)</f>
        <v>62</v>
      </c>
      <c r="T832" s="270" t="str">
        <f>VLOOKUP($N832,'2 CODIFICATION'!$G$5:$L$71,6,FALSE)</f>
        <v>Autres services extérieurs</v>
      </c>
    </row>
    <row r="833" spans="1:20" hidden="1">
      <c r="A833" s="201" t="s">
        <v>170</v>
      </c>
      <c r="B833" s="508" t="s">
        <v>79</v>
      </c>
      <c r="D833" s="1259">
        <v>45570</v>
      </c>
      <c r="E833" s="1257" t="s">
        <v>971</v>
      </c>
      <c r="F833" s="1258"/>
      <c r="G833" s="1261"/>
      <c r="H833" s="1263">
        <v>38.880000000000003</v>
      </c>
      <c r="I833" s="477">
        <f t="shared" si="95"/>
        <v>2320.0200000000041</v>
      </c>
      <c r="J833" s="902" t="s">
        <v>527</v>
      </c>
      <c r="K833" s="20">
        <f t="shared" si="94"/>
        <v>6068</v>
      </c>
      <c r="L833" s="74" t="str">
        <f>VLOOKUP($J833,'2 CODIFICATION'!A$5:B$21,2,"FAUX")</f>
        <v>TOILETTES ECOSAN</v>
      </c>
      <c r="M833" s="74" t="str">
        <f>VLOOKUP($K833,'2 CODIFICATION'!D$5:E$64,2,"FAUX")</f>
        <v>Autres matières et fournitures</v>
      </c>
      <c r="N833" s="74">
        <v>606800</v>
      </c>
      <c r="O833" s="206">
        <f t="shared" ref="O833:O856" si="99">G833-H833</f>
        <v>-38.880000000000003</v>
      </c>
      <c r="P833" s="74">
        <f t="shared" ref="P833:P856" si="100">YEAR(D833)</f>
        <v>2024</v>
      </c>
      <c r="Q833" s="270" t="str">
        <f>VLOOKUP($N833,'2 CODIFICATION'!$G$5:$L$71,3,FALSE)</f>
        <v>Autres matières et fournitures</v>
      </c>
      <c r="R833" s="271" t="str">
        <f>VLOOKUP($N833,'2 CODIFICATION'!$G$5:$L$71,4,FALSE)</f>
        <v>chges</v>
      </c>
      <c r="S833" s="271">
        <f>VLOOKUP($N833,'2 CODIFICATION'!$G$5:$L$71,5,FALSE)</f>
        <v>60</v>
      </c>
      <c r="T833" s="270" t="str">
        <f>VLOOKUP($N833,'2 CODIFICATION'!$G$5:$L$71,6,FALSE)</f>
        <v>Achat</v>
      </c>
    </row>
    <row r="834" spans="1:20" hidden="1">
      <c r="A834" s="201" t="s">
        <v>170</v>
      </c>
      <c r="B834" s="508" t="s">
        <v>79</v>
      </c>
      <c r="D834" s="1259">
        <v>45576</v>
      </c>
      <c r="E834" s="1257" t="s">
        <v>943</v>
      </c>
      <c r="F834" s="1258"/>
      <c r="G834" s="1261"/>
      <c r="H834" s="1263">
        <v>783</v>
      </c>
      <c r="I834" s="477">
        <f t="shared" si="95"/>
        <v>1537.0200000000041</v>
      </c>
      <c r="J834" s="466" t="s">
        <v>527</v>
      </c>
      <c r="K834" s="20">
        <f t="shared" si="94"/>
        <v>4500</v>
      </c>
      <c r="L834" s="74" t="str">
        <f>VLOOKUP($J834,'2 CODIFICATION'!A$5:B$21,2,"FAUX")</f>
        <v>TOILETTES ECOSAN</v>
      </c>
      <c r="M834" s="74" t="str">
        <f>VLOOKUP($K834,'2 CODIFICATION'!D$5:E$64,2,"FAUX")</f>
        <v>Compte courant</v>
      </c>
      <c r="N834" s="74">
        <v>450000</v>
      </c>
      <c r="O834" s="206">
        <f t="shared" si="99"/>
        <v>-783</v>
      </c>
      <c r="P834" s="74">
        <f t="shared" si="100"/>
        <v>2024</v>
      </c>
      <c r="Q834" s="270" t="str">
        <f>VLOOKUP($N834,'2 CODIFICATION'!$G$5:$L$71,3,FALSE)</f>
        <v>Compte courant</v>
      </c>
      <c r="R834" s="271" t="str">
        <f>VLOOKUP($N834,'2 CODIFICATION'!$G$5:$L$71,4,FALSE)</f>
        <v>bilan</v>
      </c>
      <c r="S834" s="271">
        <f>VLOOKUP($N834,'2 CODIFICATION'!$G$5:$L$71,5,FALSE)</f>
        <v>45</v>
      </c>
      <c r="T834" s="270" t="str">
        <f>VLOOKUP($N834,'2 CODIFICATION'!$G$5:$L$71,6,FALSE)</f>
        <v>Compte courant</v>
      </c>
    </row>
    <row r="835" spans="1:20" hidden="1">
      <c r="A835" s="201" t="s">
        <v>170</v>
      </c>
      <c r="B835" s="508" t="s">
        <v>79</v>
      </c>
      <c r="D835" s="1259">
        <v>45581</v>
      </c>
      <c r="E835" s="1257" t="s">
        <v>944</v>
      </c>
      <c r="F835" s="1258"/>
      <c r="G835" s="1261">
        <v>6000</v>
      </c>
      <c r="H835" s="1263"/>
      <c r="I835" s="477">
        <f t="shared" si="95"/>
        <v>7537.0200000000041</v>
      </c>
      <c r="J835" s="466" t="s">
        <v>527</v>
      </c>
      <c r="K835" s="20">
        <f t="shared" si="94"/>
        <v>7410</v>
      </c>
      <c r="L835" s="74" t="str">
        <f>VLOOKUP($J835,'2 CODIFICATION'!A$5:B$21,2,"FAUX")</f>
        <v>TOILETTES ECOSAN</v>
      </c>
      <c r="M835" s="74" t="str">
        <f>VLOOKUP($K835,'2 CODIFICATION'!D$5:E$64,2,"FAUX")</f>
        <v>Subventions Région Nouvelle Aquitaine</v>
      </c>
      <c r="N835" s="74">
        <v>741000</v>
      </c>
      <c r="O835" s="206">
        <f t="shared" si="99"/>
        <v>6000</v>
      </c>
      <c r="P835" s="74">
        <f t="shared" si="100"/>
        <v>2024</v>
      </c>
      <c r="Q835" s="270" t="str">
        <f>VLOOKUP($N835,'2 CODIFICATION'!$G$5:$L$71,3,FALSE)</f>
        <v>Région Nouvelle-Aquitaine</v>
      </c>
      <c r="R835" s="271" t="str">
        <f>VLOOKUP($N835,'2 CODIFICATION'!$G$5:$L$71,4,FALSE)</f>
        <v>pdts</v>
      </c>
      <c r="S835" s="271">
        <f>VLOOKUP($N835,'2 CODIFICATION'!$G$5:$L$71,5,FALSE)</f>
        <v>74</v>
      </c>
      <c r="T835" s="270" t="str">
        <f>VLOOKUP($N835,'2 CODIFICATION'!$G$5:$L$71,6,FALSE)</f>
        <v>Subventions d'exploitation</v>
      </c>
    </row>
    <row r="836" spans="1:20" hidden="1">
      <c r="A836" s="201" t="s">
        <v>170</v>
      </c>
      <c r="B836" s="508" t="s">
        <v>79</v>
      </c>
      <c r="D836" s="1259">
        <v>45582</v>
      </c>
      <c r="E836" s="1257" t="s">
        <v>945</v>
      </c>
      <c r="F836" s="1258"/>
      <c r="G836" s="1261">
        <v>40</v>
      </c>
      <c r="H836" s="1263"/>
      <c r="I836" s="477">
        <f t="shared" si="95"/>
        <v>7577.0200000000041</v>
      </c>
      <c r="J836" s="466" t="s">
        <v>273</v>
      </c>
      <c r="K836" s="20">
        <f t="shared" si="94"/>
        <v>7581</v>
      </c>
      <c r="L836" s="74" t="str">
        <f>VLOOKUP($J836,'2 CODIFICATION'!A$5:B$21,2,"FAUX")</f>
        <v>ADMINIST ET FONCT</v>
      </c>
      <c r="M836" s="74" t="str">
        <f>VLOOKUP($K836,'2 CODIFICATION'!D$5:E$64,2,"FAUX")</f>
        <v>Adhésions association</v>
      </c>
      <c r="N836" s="74">
        <v>758100</v>
      </c>
      <c r="O836" s="206">
        <f t="shared" si="99"/>
        <v>40</v>
      </c>
      <c r="P836" s="74">
        <f t="shared" si="100"/>
        <v>2024</v>
      </c>
      <c r="Q836" s="270" t="str">
        <f>VLOOKUP($N836,'2 CODIFICATION'!$G$5:$L$71,3,FALSE)</f>
        <v>Cotisations individuelles et associatives</v>
      </c>
      <c r="R836" s="271" t="str">
        <f>VLOOKUP($N836,'2 CODIFICATION'!$G$5:$L$71,4,FALSE)</f>
        <v>pdts</v>
      </c>
      <c r="S836" s="271">
        <f>VLOOKUP($N836,'2 CODIFICATION'!$G$5:$L$71,5,FALSE)</f>
        <v>75</v>
      </c>
      <c r="T836" s="270" t="str">
        <f>VLOOKUP($N836,'2 CODIFICATION'!$G$5:$L$71,6,FALSE)</f>
        <v>Autres produits de gestion courante</v>
      </c>
    </row>
    <row r="837" spans="1:20" hidden="1">
      <c r="A837" s="201" t="s">
        <v>170</v>
      </c>
      <c r="B837" s="508" t="s">
        <v>79</v>
      </c>
      <c r="D837" s="1259">
        <v>45596</v>
      </c>
      <c r="E837" s="1257" t="s">
        <v>953</v>
      </c>
      <c r="F837" s="1258"/>
      <c r="G837" s="1261">
        <v>20</v>
      </c>
      <c r="H837" s="1263"/>
      <c r="I837" s="477">
        <f t="shared" si="95"/>
        <v>7597.0200000000041</v>
      </c>
      <c r="J837" s="466" t="s">
        <v>273</v>
      </c>
      <c r="K837" s="20">
        <f t="shared" si="94"/>
        <v>7581</v>
      </c>
      <c r="L837" s="74" t="str">
        <f>VLOOKUP($J837,'2 CODIFICATION'!A$5:B$21,2,"FAUX")</f>
        <v>ADMINIST ET FONCT</v>
      </c>
      <c r="M837" s="74" t="str">
        <f>VLOOKUP($K837,'2 CODIFICATION'!D$5:E$64,2,"FAUX")</f>
        <v>Adhésions association</v>
      </c>
      <c r="N837" s="74">
        <v>758100</v>
      </c>
      <c r="O837" s="206">
        <f t="shared" si="99"/>
        <v>20</v>
      </c>
      <c r="P837" s="74">
        <f t="shared" si="100"/>
        <v>2024</v>
      </c>
      <c r="Q837" s="270" t="str">
        <f>VLOOKUP($N837,'2 CODIFICATION'!$G$5:$L$71,3,FALSE)</f>
        <v>Cotisations individuelles et associatives</v>
      </c>
      <c r="R837" s="271" t="str">
        <f>VLOOKUP($N837,'2 CODIFICATION'!$G$5:$L$71,4,FALSE)</f>
        <v>pdts</v>
      </c>
      <c r="S837" s="271">
        <f>VLOOKUP($N837,'2 CODIFICATION'!$G$5:$L$71,5,FALSE)</f>
        <v>75</v>
      </c>
      <c r="T837" s="270" t="str">
        <f>VLOOKUP($N837,'2 CODIFICATION'!$G$5:$L$71,6,FALSE)</f>
        <v>Autres produits de gestion courante</v>
      </c>
    </row>
    <row r="838" spans="1:20" hidden="1">
      <c r="A838" s="201" t="s">
        <v>170</v>
      </c>
      <c r="B838" s="508" t="s">
        <v>79</v>
      </c>
      <c r="D838" s="1259">
        <v>45608</v>
      </c>
      <c r="E838" s="1257" t="s">
        <v>954</v>
      </c>
      <c r="F838" s="1258"/>
      <c r="G838" s="1261"/>
      <c r="H838" s="1263">
        <v>1000</v>
      </c>
      <c r="I838" s="477">
        <f t="shared" si="95"/>
        <v>6597.0200000000041</v>
      </c>
      <c r="J838" s="466" t="s">
        <v>527</v>
      </c>
      <c r="K838" s="20">
        <f t="shared" ref="K838:K856" si="101">N838/100</f>
        <v>4500</v>
      </c>
      <c r="L838" s="74" t="str">
        <f>VLOOKUP($J838,'2 CODIFICATION'!A$5:B$21,2,"FAUX")</f>
        <v>TOILETTES ECOSAN</v>
      </c>
      <c r="M838" s="74" t="str">
        <f>VLOOKUP($K838,'2 CODIFICATION'!D$5:E$64,2,"FAUX")</f>
        <v>Compte courant</v>
      </c>
      <c r="N838" s="74">
        <v>450000</v>
      </c>
      <c r="O838" s="206">
        <f t="shared" si="99"/>
        <v>-1000</v>
      </c>
      <c r="P838" s="74">
        <f t="shared" si="100"/>
        <v>2024</v>
      </c>
      <c r="Q838" s="270" t="str">
        <f>VLOOKUP($N838,'2 CODIFICATION'!$G$5:$L$71,3,FALSE)</f>
        <v>Compte courant</v>
      </c>
      <c r="R838" s="271" t="str">
        <f>VLOOKUP($N838,'2 CODIFICATION'!$G$5:$L$71,4,FALSE)</f>
        <v>bilan</v>
      </c>
      <c r="S838" s="271">
        <f>VLOOKUP($N838,'2 CODIFICATION'!$G$5:$L$71,5,FALSE)</f>
        <v>45</v>
      </c>
      <c r="T838" s="270" t="str">
        <f>VLOOKUP($N838,'2 CODIFICATION'!$G$5:$L$71,6,FALSE)</f>
        <v>Compte courant</v>
      </c>
    </row>
    <row r="839" spans="1:20" hidden="1">
      <c r="A839" s="201" t="s">
        <v>170</v>
      </c>
      <c r="B839" s="508" t="s">
        <v>79</v>
      </c>
      <c r="D839" s="1259">
        <v>45612</v>
      </c>
      <c r="E839" s="1257" t="s">
        <v>955</v>
      </c>
      <c r="F839" s="1258"/>
      <c r="G839" s="1261"/>
      <c r="H839" s="1263">
        <v>1000</v>
      </c>
      <c r="I839" s="477">
        <f t="shared" si="95"/>
        <v>5597.0200000000041</v>
      </c>
      <c r="J839" s="466" t="s">
        <v>527</v>
      </c>
      <c r="K839" s="20">
        <f t="shared" si="101"/>
        <v>4500</v>
      </c>
      <c r="L839" s="74" t="str">
        <f>VLOOKUP($J839,'2 CODIFICATION'!A$5:B$21,2,"FAUX")</f>
        <v>TOILETTES ECOSAN</v>
      </c>
      <c r="M839" s="74" t="str">
        <f>VLOOKUP($K839,'2 CODIFICATION'!D$5:E$64,2,"FAUX")</f>
        <v>Compte courant</v>
      </c>
      <c r="N839" s="74">
        <v>450000</v>
      </c>
      <c r="O839" s="206">
        <f t="shared" si="99"/>
        <v>-1000</v>
      </c>
      <c r="P839" s="74">
        <f t="shared" si="100"/>
        <v>2024</v>
      </c>
      <c r="Q839" s="270" t="str">
        <f>VLOOKUP($N839,'2 CODIFICATION'!$G$5:$L$71,3,FALSE)</f>
        <v>Compte courant</v>
      </c>
      <c r="R839" s="271" t="str">
        <f>VLOOKUP($N839,'2 CODIFICATION'!$G$5:$L$71,4,FALSE)</f>
        <v>bilan</v>
      </c>
      <c r="S839" s="271">
        <f>VLOOKUP($N839,'2 CODIFICATION'!$G$5:$L$71,5,FALSE)</f>
        <v>45</v>
      </c>
      <c r="T839" s="270" t="str">
        <f>VLOOKUP($N839,'2 CODIFICATION'!$G$5:$L$71,6,FALSE)</f>
        <v>Compte courant</v>
      </c>
    </row>
    <row r="840" spans="1:20" hidden="1">
      <c r="A840" s="201" t="s">
        <v>170</v>
      </c>
      <c r="B840" s="508" t="s">
        <v>79</v>
      </c>
      <c r="D840" s="1259">
        <v>45623</v>
      </c>
      <c r="E840" s="1257" t="s">
        <v>949</v>
      </c>
      <c r="F840" s="1258"/>
      <c r="G840" s="1261">
        <v>300</v>
      </c>
      <c r="H840" s="1263"/>
      <c r="I840" s="477">
        <f t="shared" si="95"/>
        <v>5897.0200000000041</v>
      </c>
      <c r="J840" s="466" t="s">
        <v>273</v>
      </c>
      <c r="K840" s="20">
        <f t="shared" si="101"/>
        <v>7771</v>
      </c>
      <c r="L840" s="74" t="str">
        <f>VLOOKUP($J840,'2 CODIFICATION'!A$5:B$21,2,"FAUX")</f>
        <v>ADMINIST ET FONCT</v>
      </c>
      <c r="M840" s="74" t="str">
        <f>VLOOKUP($K840,'2 CODIFICATION'!D$5:E$64,2,"FAUX")</f>
        <v>Dons et participations à l"association</v>
      </c>
      <c r="N840" s="74">
        <v>777100</v>
      </c>
      <c r="O840" s="206">
        <f t="shared" si="99"/>
        <v>300</v>
      </c>
      <c r="P840" s="74">
        <f t="shared" si="100"/>
        <v>2024</v>
      </c>
      <c r="Q840" s="270" t="str">
        <f>VLOOKUP($N840,'2 CODIFICATION'!$G$5:$L$71,3,FALSE)</f>
        <v>Dons et autres mises à dispositions gratuites</v>
      </c>
      <c r="R840" s="271" t="str">
        <f>VLOOKUP($N840,'2 CODIFICATION'!$G$5:$L$71,4,FALSE)</f>
        <v>pdts</v>
      </c>
      <c r="S840" s="271">
        <f>VLOOKUP($N840,'2 CODIFICATION'!$G$5:$L$71,5,FALSE)</f>
        <v>77</v>
      </c>
      <c r="T840" s="270" t="str">
        <f>VLOOKUP($N840,'2 CODIFICATION'!$G$5:$L$71,6,FALSE)</f>
        <v>Produits exceptionnels</v>
      </c>
    </row>
    <row r="841" spans="1:20" hidden="1">
      <c r="A841" s="201" t="s">
        <v>170</v>
      </c>
      <c r="B841" s="508" t="s">
        <v>79</v>
      </c>
      <c r="D841" s="1259">
        <v>45624</v>
      </c>
      <c r="E841" s="1257" t="s">
        <v>946</v>
      </c>
      <c r="F841" s="1258"/>
      <c r="G841" s="1261"/>
      <c r="H841" s="1321">
        <v>20.25</v>
      </c>
      <c r="I841" s="477">
        <f t="shared" si="95"/>
        <v>5876.7700000000041</v>
      </c>
      <c r="J841" s="902" t="s">
        <v>527</v>
      </c>
      <c r="K841" s="20">
        <f t="shared" si="101"/>
        <v>6270</v>
      </c>
      <c r="L841" s="74" t="str">
        <f>VLOOKUP($J841,'2 CODIFICATION'!A$5:B$21,2,"FAUX")</f>
        <v>TOILETTES ECOSAN</v>
      </c>
      <c r="M841" s="74" t="str">
        <f>VLOOKUP($K841,'2 CODIFICATION'!D$5:E$64,2,"FAUX")</f>
        <v>Frais de banque</v>
      </c>
      <c r="N841" s="74">
        <v>627000</v>
      </c>
      <c r="O841" s="206">
        <f t="shared" si="99"/>
        <v>-20.25</v>
      </c>
      <c r="P841" s="74">
        <f t="shared" si="100"/>
        <v>2024</v>
      </c>
      <c r="Q841" s="270" t="str">
        <f>VLOOKUP($N841,'2 CODIFICATION'!$G$5:$L$71,3,FALSE)</f>
        <v>Frais bancaires</v>
      </c>
      <c r="R841" s="271" t="str">
        <f>VLOOKUP($N841,'2 CODIFICATION'!$G$5:$L$71,4,FALSE)</f>
        <v>chges</v>
      </c>
      <c r="S841" s="271">
        <f>VLOOKUP($N841,'2 CODIFICATION'!$G$5:$L$71,5,FALSE)</f>
        <v>62</v>
      </c>
      <c r="T841" s="270" t="str">
        <f>VLOOKUP($N841,'2 CODIFICATION'!$G$5:$L$71,6,FALSE)</f>
        <v>Autres services extérieurs</v>
      </c>
    </row>
    <row r="842" spans="1:20" hidden="1">
      <c r="A842" s="201" t="s">
        <v>170</v>
      </c>
      <c r="B842" s="508" t="s">
        <v>79</v>
      </c>
      <c r="D842" s="1259">
        <v>45624</v>
      </c>
      <c r="E842" s="1294" t="s">
        <v>964</v>
      </c>
      <c r="F842" s="1263"/>
      <c r="G842" s="1263"/>
      <c r="H842" s="1263">
        <v>5000</v>
      </c>
      <c r="I842" s="477">
        <f>+I840+G842-H842</f>
        <v>897.02000000000407</v>
      </c>
      <c r="J842" s="466" t="s">
        <v>527</v>
      </c>
      <c r="K842" s="20">
        <f t="shared" ref="K842" si="102">N842/100</f>
        <v>4010</v>
      </c>
      <c r="L842" s="74" t="str">
        <f>VLOOKUP($J842,'2 CODIFICATION'!A$5:B$21,2,"FAUX")</f>
        <v>TOILETTES ECOSAN</v>
      </c>
      <c r="M842" s="74" t="str">
        <f>VLOOKUP($K842,'2 CODIFICATION'!D$5:E$64,2,"FAUX")</f>
        <v>Fournisseurs</v>
      </c>
      <c r="N842" s="74">
        <v>401000</v>
      </c>
      <c r="O842" s="206">
        <f t="shared" ref="O842" si="103">G842-H842</f>
        <v>-5000</v>
      </c>
      <c r="P842" s="74">
        <f t="shared" ref="P842" si="104">YEAR(D842)</f>
        <v>2024</v>
      </c>
      <c r="Q842" s="270" t="str">
        <f>VLOOKUP($N842,'2 CODIFICATION'!$G$5:$L$71,3,FALSE)</f>
        <v>Fournisseurs</v>
      </c>
      <c r="R842" s="271" t="str">
        <f>VLOOKUP($N842,'2 CODIFICATION'!$G$5:$L$71,4,FALSE)</f>
        <v>bilan</v>
      </c>
      <c r="S842" s="271">
        <f>VLOOKUP($N842,'2 CODIFICATION'!$G$5:$L$71,5,FALSE)</f>
        <v>40</v>
      </c>
      <c r="T842" s="270" t="str">
        <f>VLOOKUP($N842,'2 CODIFICATION'!$G$5:$L$71,6,FALSE)</f>
        <v>Fournisseurs</v>
      </c>
    </row>
    <row r="843" spans="1:20" hidden="1">
      <c r="A843" s="201" t="s">
        <v>170</v>
      </c>
      <c r="B843" s="508" t="s">
        <v>79</v>
      </c>
      <c r="D843" s="1259">
        <v>45624</v>
      </c>
      <c r="E843" s="1294" t="s">
        <v>964</v>
      </c>
      <c r="F843" s="1258"/>
      <c r="G843" s="1261"/>
      <c r="H843" s="1263">
        <v>300</v>
      </c>
      <c r="I843" s="477">
        <f>+I841+G843-H843</f>
        <v>5576.7700000000041</v>
      </c>
      <c r="J843" s="466" t="s">
        <v>273</v>
      </c>
      <c r="K843" s="20">
        <f t="shared" si="101"/>
        <v>6256</v>
      </c>
      <c r="L843" s="74" t="str">
        <f>VLOOKUP($J843,'2 CODIFICATION'!A$5:B$21,2,"FAUX")</f>
        <v>ADMINIST ET FONCT</v>
      </c>
      <c r="M843" s="74" t="str">
        <f>VLOOKUP($K843,'2 CODIFICATION'!D$5:E$64,2,"FAUX")</f>
        <v>Frais de mission</v>
      </c>
      <c r="N843" s="74">
        <v>625600</v>
      </c>
      <c r="O843" s="206">
        <f t="shared" si="99"/>
        <v>-300</v>
      </c>
      <c r="P843" s="74">
        <f t="shared" si="100"/>
        <v>2024</v>
      </c>
      <c r="Q843" s="270" t="str">
        <f>VLOOKUP($N843,'2 CODIFICATION'!$G$5:$L$71,3,FALSE)</f>
        <v>Missions et manifestations</v>
      </c>
      <c r="R843" s="271" t="str">
        <f>VLOOKUP($N843,'2 CODIFICATION'!$G$5:$L$71,4,FALSE)</f>
        <v>chges</v>
      </c>
      <c r="S843" s="271">
        <f>VLOOKUP($N843,'2 CODIFICATION'!$G$5:$L$71,5,FALSE)</f>
        <v>62</v>
      </c>
      <c r="T843" s="270" t="str">
        <f>VLOOKUP($N843,'2 CODIFICATION'!$G$5:$L$71,6,FALSE)</f>
        <v>Autres services extérieurs</v>
      </c>
    </row>
    <row r="844" spans="1:20" hidden="1">
      <c r="A844" s="201" t="s">
        <v>170</v>
      </c>
      <c r="B844" s="508" t="s">
        <v>79</v>
      </c>
      <c r="D844" s="1259">
        <v>45629</v>
      </c>
      <c r="E844" s="1257" t="s">
        <v>947</v>
      </c>
      <c r="F844" s="1258"/>
      <c r="G844" s="1261">
        <v>20</v>
      </c>
      <c r="H844" s="1263"/>
      <c r="I844" s="477">
        <f t="shared" si="95"/>
        <v>5596.7700000000041</v>
      </c>
      <c r="J844" s="466" t="s">
        <v>273</v>
      </c>
      <c r="K844" s="20">
        <f t="shared" si="101"/>
        <v>7581</v>
      </c>
      <c r="L844" s="74" t="str">
        <f>VLOOKUP($J844,'2 CODIFICATION'!A$5:B$21,2,"FAUX")</f>
        <v>ADMINIST ET FONCT</v>
      </c>
      <c r="M844" s="74" t="str">
        <f>VLOOKUP($K844,'2 CODIFICATION'!D$5:E$64,2,"FAUX")</f>
        <v>Adhésions association</v>
      </c>
      <c r="N844" s="74">
        <v>758100</v>
      </c>
      <c r="O844" s="206">
        <f t="shared" si="99"/>
        <v>20</v>
      </c>
      <c r="P844" s="74">
        <f t="shared" si="100"/>
        <v>2024</v>
      </c>
      <c r="Q844" s="270" t="str">
        <f>VLOOKUP($N844,'2 CODIFICATION'!$G$5:$L$71,3,FALSE)</f>
        <v>Cotisations individuelles et associatives</v>
      </c>
      <c r="R844" s="271" t="str">
        <f>VLOOKUP($N844,'2 CODIFICATION'!$G$5:$L$71,4,FALSE)</f>
        <v>pdts</v>
      </c>
      <c r="S844" s="271">
        <f>VLOOKUP($N844,'2 CODIFICATION'!$G$5:$L$71,5,FALSE)</f>
        <v>75</v>
      </c>
      <c r="T844" s="270" t="str">
        <f>VLOOKUP($N844,'2 CODIFICATION'!$G$5:$L$71,6,FALSE)</f>
        <v>Autres produits de gestion courante</v>
      </c>
    </row>
    <row r="845" spans="1:20" hidden="1">
      <c r="A845" s="201" t="s">
        <v>170</v>
      </c>
      <c r="B845" s="508" t="s">
        <v>79</v>
      </c>
      <c r="D845" s="1259">
        <v>45631</v>
      </c>
      <c r="E845" s="1257" t="s">
        <v>948</v>
      </c>
      <c r="F845" s="1258"/>
      <c r="G845" s="1261">
        <v>315</v>
      </c>
      <c r="H845" s="1263"/>
      <c r="I845" s="477">
        <f t="shared" si="95"/>
        <v>5911.7700000000041</v>
      </c>
      <c r="J845" s="466" t="s">
        <v>273</v>
      </c>
      <c r="K845" s="20">
        <f t="shared" si="101"/>
        <v>7771</v>
      </c>
      <c r="L845" s="74" t="str">
        <f>VLOOKUP($J845,'2 CODIFICATION'!A$5:B$21,2,"FAUX")</f>
        <v>ADMINIST ET FONCT</v>
      </c>
      <c r="M845" s="74" t="str">
        <f>VLOOKUP($K845,'2 CODIFICATION'!D$5:E$64,2,"FAUX")</f>
        <v>Dons et participations à l"association</v>
      </c>
      <c r="N845" s="74">
        <v>777100</v>
      </c>
      <c r="O845" s="206">
        <f t="shared" si="99"/>
        <v>315</v>
      </c>
      <c r="P845" s="74">
        <f t="shared" si="100"/>
        <v>2024</v>
      </c>
      <c r="Q845" s="270" t="str">
        <f>VLOOKUP($N845,'2 CODIFICATION'!$G$5:$L$71,3,FALSE)</f>
        <v>Dons et autres mises à dispositions gratuites</v>
      </c>
      <c r="R845" s="271" t="str">
        <f>VLOOKUP($N845,'2 CODIFICATION'!$G$5:$L$71,4,FALSE)</f>
        <v>pdts</v>
      </c>
      <c r="S845" s="271">
        <f>VLOOKUP($N845,'2 CODIFICATION'!$G$5:$L$71,5,FALSE)</f>
        <v>77</v>
      </c>
      <c r="T845" s="270" t="str">
        <f>VLOOKUP($N845,'2 CODIFICATION'!$G$5:$L$71,6,FALSE)</f>
        <v>Produits exceptionnels</v>
      </c>
    </row>
    <row r="846" spans="1:20" hidden="1">
      <c r="A846" s="201" t="s">
        <v>170</v>
      </c>
      <c r="B846" s="508" t="s">
        <v>79</v>
      </c>
      <c r="D846" s="1259">
        <v>45632</v>
      </c>
      <c r="E846" s="1257" t="s">
        <v>946</v>
      </c>
      <c r="F846" s="1258"/>
      <c r="G846" s="1261"/>
      <c r="H846" s="1321">
        <v>20.25</v>
      </c>
      <c r="I846" s="477">
        <f t="shared" si="95"/>
        <v>5891.5200000000041</v>
      </c>
      <c r="J846" s="902" t="s">
        <v>527</v>
      </c>
      <c r="K846" s="20">
        <f t="shared" si="101"/>
        <v>6270</v>
      </c>
      <c r="L846" s="74" t="str">
        <f>VLOOKUP($J846,'2 CODIFICATION'!A$5:B$21,2,"FAUX")</f>
        <v>TOILETTES ECOSAN</v>
      </c>
      <c r="M846" s="74" t="str">
        <f>VLOOKUP($K846,'2 CODIFICATION'!D$5:E$64,2,"FAUX")</f>
        <v>Frais de banque</v>
      </c>
      <c r="N846" s="74">
        <v>627000</v>
      </c>
      <c r="O846" s="206">
        <f t="shared" si="99"/>
        <v>-20.25</v>
      </c>
      <c r="P846" s="74">
        <f t="shared" si="100"/>
        <v>2024</v>
      </c>
      <c r="Q846" s="270" t="str">
        <f>VLOOKUP($N846,'2 CODIFICATION'!$G$5:$L$71,3,FALSE)</f>
        <v>Frais bancaires</v>
      </c>
      <c r="R846" s="271" t="str">
        <f>VLOOKUP($N846,'2 CODIFICATION'!$G$5:$L$71,4,FALSE)</f>
        <v>chges</v>
      </c>
      <c r="S846" s="271">
        <f>VLOOKUP($N846,'2 CODIFICATION'!$G$5:$L$71,5,FALSE)</f>
        <v>62</v>
      </c>
      <c r="T846" s="270" t="str">
        <f>VLOOKUP($N846,'2 CODIFICATION'!$G$5:$L$71,6,FALSE)</f>
        <v>Autres services extérieurs</v>
      </c>
    </row>
    <row r="847" spans="1:20" hidden="1">
      <c r="A847" s="201" t="s">
        <v>170</v>
      </c>
      <c r="B847" s="508" t="s">
        <v>79</v>
      </c>
      <c r="D847" s="1259">
        <v>45632</v>
      </c>
      <c r="E847" s="1257" t="s">
        <v>950</v>
      </c>
      <c r="F847" s="1258"/>
      <c r="G847" s="1261"/>
      <c r="H847" s="1263">
        <v>300</v>
      </c>
      <c r="I847" s="477">
        <f t="shared" si="95"/>
        <v>5591.5200000000041</v>
      </c>
      <c r="J847" s="466" t="s">
        <v>273</v>
      </c>
      <c r="K847" s="20">
        <f t="shared" si="101"/>
        <v>6110</v>
      </c>
      <c r="L847" s="74" t="str">
        <f>VLOOKUP($J847,'2 CODIFICATION'!A$5:B$21,2,"FAUX")</f>
        <v>ADMINIST ET FONCT</v>
      </c>
      <c r="M847" s="74" t="str">
        <f>VLOOKUP($K847,'2 CODIFICATION'!D$5:E$64,2,"FAUX")</f>
        <v>Sous traitance projet</v>
      </c>
      <c r="N847" s="74">
        <v>611000</v>
      </c>
      <c r="O847" s="206">
        <f t="shared" si="99"/>
        <v>-300</v>
      </c>
      <c r="P847" s="74">
        <f t="shared" si="100"/>
        <v>2024</v>
      </c>
      <c r="Q847" s="270" t="str">
        <f>VLOOKUP($N847,'2 CODIFICATION'!$G$5:$L$71,3,FALSE)</f>
        <v xml:space="preserve">Sous-traitance générale </v>
      </c>
      <c r="R847" s="271" t="str">
        <f>VLOOKUP($N847,'2 CODIFICATION'!$G$5:$L$71,4,FALSE)</f>
        <v>chges</v>
      </c>
      <c r="S847" s="271">
        <f>VLOOKUP($N847,'2 CODIFICATION'!$G$5:$L$71,5,FALSE)</f>
        <v>61</v>
      </c>
      <c r="T847" s="270" t="str">
        <f>VLOOKUP($N847,'2 CODIFICATION'!$G$5:$L$71,6,FALSE)</f>
        <v>Services extérieurs</v>
      </c>
    </row>
    <row r="848" spans="1:20" hidden="1">
      <c r="A848" s="201" t="s">
        <v>170</v>
      </c>
      <c r="B848" s="508" t="s">
        <v>79</v>
      </c>
      <c r="D848" s="1259">
        <v>45636</v>
      </c>
      <c r="E848" s="1257" t="s">
        <v>956</v>
      </c>
      <c r="F848" s="1258"/>
      <c r="G848" s="1261">
        <v>3333</v>
      </c>
      <c r="H848" s="1263"/>
      <c r="I848" s="477">
        <f t="shared" si="95"/>
        <v>8924.5200000000041</v>
      </c>
      <c r="J848" s="466" t="s">
        <v>527</v>
      </c>
      <c r="K848" s="20">
        <f t="shared" si="101"/>
        <v>7420</v>
      </c>
      <c r="L848" s="74" t="str">
        <f>VLOOKUP($J848,'2 CODIFICATION'!A$5:B$21,2,"FAUX")</f>
        <v>TOILETTES ECOSAN</v>
      </c>
      <c r="M848" s="74" t="str">
        <f>VLOOKUP($K848,'2 CODIFICATION'!D$5:E$64,2,"FAUX")</f>
        <v>Subvention Agence Micro Projet</v>
      </c>
      <c r="N848" s="74">
        <v>742000</v>
      </c>
      <c r="O848" s="206">
        <f t="shared" si="99"/>
        <v>3333</v>
      </c>
      <c r="P848" s="74">
        <f t="shared" si="100"/>
        <v>2024</v>
      </c>
      <c r="Q848" s="270" t="str">
        <f>VLOOKUP($N848,'2 CODIFICATION'!$G$5:$L$71,3,FALSE)</f>
        <v>AMP-GRATITUDE</v>
      </c>
      <c r="R848" s="271" t="str">
        <f>VLOOKUP($N848,'2 CODIFICATION'!$G$5:$L$71,4,FALSE)</f>
        <v>pdts</v>
      </c>
      <c r="S848" s="271">
        <f>VLOOKUP($N848,'2 CODIFICATION'!$G$5:$L$71,5,FALSE)</f>
        <v>74</v>
      </c>
      <c r="T848" s="270" t="str">
        <f>VLOOKUP($N848,'2 CODIFICATION'!$G$5:$L$71,6,FALSE)</f>
        <v>Subventions d'exploitation</v>
      </c>
    </row>
    <row r="849" spans="1:20" hidden="1">
      <c r="A849" s="201" t="s">
        <v>170</v>
      </c>
      <c r="B849" s="508" t="s">
        <v>79</v>
      </c>
      <c r="D849" s="1259">
        <v>45638</v>
      </c>
      <c r="E849" s="1257" t="s">
        <v>946</v>
      </c>
      <c r="F849" s="1258"/>
      <c r="G849" s="1261"/>
      <c r="H849" s="1321">
        <v>20.25</v>
      </c>
      <c r="I849" s="477">
        <f t="shared" si="95"/>
        <v>8904.2700000000041</v>
      </c>
      <c r="J849" s="466" t="s">
        <v>527</v>
      </c>
      <c r="K849" s="20">
        <f t="shared" si="101"/>
        <v>6270</v>
      </c>
      <c r="L849" s="74" t="str">
        <f>VLOOKUP($J849,'2 CODIFICATION'!A$5:B$21,2,"FAUX")</f>
        <v>TOILETTES ECOSAN</v>
      </c>
      <c r="M849" s="74" t="str">
        <f>VLOOKUP($K849,'2 CODIFICATION'!D$5:E$64,2,"FAUX")</f>
        <v>Frais de banque</v>
      </c>
      <c r="N849" s="74">
        <v>627000</v>
      </c>
      <c r="O849" s="206">
        <f t="shared" si="99"/>
        <v>-20.25</v>
      </c>
      <c r="P849" s="74">
        <f t="shared" si="100"/>
        <v>2024</v>
      </c>
      <c r="Q849" s="270" t="str">
        <f>VLOOKUP($N849,'2 CODIFICATION'!$G$5:$L$71,3,FALSE)</f>
        <v>Frais bancaires</v>
      </c>
      <c r="R849" s="271" t="str">
        <f>VLOOKUP($N849,'2 CODIFICATION'!$G$5:$L$71,4,FALSE)</f>
        <v>chges</v>
      </c>
      <c r="S849" s="271">
        <f>VLOOKUP($N849,'2 CODIFICATION'!$G$5:$L$71,5,FALSE)</f>
        <v>62</v>
      </c>
      <c r="T849" s="270" t="str">
        <f>VLOOKUP($N849,'2 CODIFICATION'!$G$5:$L$71,6,FALSE)</f>
        <v>Autres services extérieurs</v>
      </c>
    </row>
    <row r="850" spans="1:20" hidden="1">
      <c r="A850" s="201" t="s">
        <v>170</v>
      </c>
      <c r="B850" s="508" t="s">
        <v>79</v>
      </c>
      <c r="D850" s="1259">
        <v>45638</v>
      </c>
      <c r="E850" s="1257" t="s">
        <v>951</v>
      </c>
      <c r="F850" s="1258"/>
      <c r="G850" s="1261"/>
      <c r="H850" s="1263">
        <v>3000</v>
      </c>
      <c r="I850" s="477">
        <f t="shared" si="95"/>
        <v>5904.2700000000041</v>
      </c>
      <c r="J850" s="466" t="s">
        <v>527</v>
      </c>
      <c r="K850" s="20">
        <f t="shared" si="101"/>
        <v>4010</v>
      </c>
      <c r="L850" s="74" t="str">
        <f>VLOOKUP($J850,'2 CODIFICATION'!A$5:B$21,2,"FAUX")</f>
        <v>TOILETTES ECOSAN</v>
      </c>
      <c r="M850" s="74" t="str">
        <f>VLOOKUP($K850,'2 CODIFICATION'!D$5:E$64,2,"FAUX")</f>
        <v>Fournisseurs</v>
      </c>
      <c r="N850" s="74">
        <v>401000</v>
      </c>
      <c r="O850" s="206">
        <f t="shared" si="99"/>
        <v>-3000</v>
      </c>
      <c r="P850" s="74">
        <f t="shared" si="100"/>
        <v>2024</v>
      </c>
      <c r="Q850" s="270" t="str">
        <f>VLOOKUP($N850,'2 CODIFICATION'!$G$5:$L$71,3,FALSE)</f>
        <v>Fournisseurs</v>
      </c>
      <c r="R850" s="271" t="str">
        <f>VLOOKUP($N850,'2 CODIFICATION'!$G$5:$L$71,4,FALSE)</f>
        <v>bilan</v>
      </c>
      <c r="S850" s="271">
        <f>VLOOKUP($N850,'2 CODIFICATION'!$G$5:$L$71,5,FALSE)</f>
        <v>40</v>
      </c>
      <c r="T850" s="270" t="str">
        <f>VLOOKUP($N850,'2 CODIFICATION'!$G$5:$L$71,6,FALSE)</f>
        <v>Fournisseurs</v>
      </c>
    </row>
    <row r="851" spans="1:20" hidden="1">
      <c r="A851" s="201" t="s">
        <v>170</v>
      </c>
      <c r="B851" s="508" t="s">
        <v>79</v>
      </c>
      <c r="D851" s="1259">
        <v>45644</v>
      </c>
      <c r="E851" s="1257" t="s">
        <v>952</v>
      </c>
      <c r="F851" s="1258"/>
      <c r="G851" s="1261">
        <v>150</v>
      </c>
      <c r="H851" s="1263"/>
      <c r="I851" s="477">
        <f t="shared" si="95"/>
        <v>6054.2700000000041</v>
      </c>
      <c r="J851" s="466" t="s">
        <v>273</v>
      </c>
      <c r="K851" s="20">
        <f t="shared" si="101"/>
        <v>7581</v>
      </c>
      <c r="L851" s="74" t="str">
        <f>VLOOKUP($J851,'2 CODIFICATION'!A$5:B$21,2,"FAUX")</f>
        <v>ADMINIST ET FONCT</v>
      </c>
      <c r="M851" s="74" t="str">
        <f>VLOOKUP($K851,'2 CODIFICATION'!D$5:E$64,2,"FAUX")</f>
        <v>Adhésions association</v>
      </c>
      <c r="N851" s="74">
        <v>758100</v>
      </c>
      <c r="O851" s="206">
        <f t="shared" si="99"/>
        <v>150</v>
      </c>
      <c r="P851" s="74">
        <f t="shared" si="100"/>
        <v>2024</v>
      </c>
      <c r="Q851" s="270" t="str">
        <f>VLOOKUP($N851,'2 CODIFICATION'!$G$5:$L$71,3,FALSE)</f>
        <v>Cotisations individuelles et associatives</v>
      </c>
      <c r="R851" s="271" t="str">
        <f>VLOOKUP($N851,'2 CODIFICATION'!$G$5:$L$71,4,FALSE)</f>
        <v>pdts</v>
      </c>
      <c r="S851" s="271">
        <f>VLOOKUP($N851,'2 CODIFICATION'!$G$5:$L$71,5,FALSE)</f>
        <v>75</v>
      </c>
      <c r="T851" s="270" t="str">
        <f>VLOOKUP($N851,'2 CODIFICATION'!$G$5:$L$71,6,FALSE)</f>
        <v>Autres produits de gestion courante</v>
      </c>
    </row>
    <row r="852" spans="1:20" hidden="1">
      <c r="A852" s="201" t="s">
        <v>170</v>
      </c>
      <c r="B852" s="508" t="s">
        <v>79</v>
      </c>
      <c r="D852" s="1259">
        <v>45644</v>
      </c>
      <c r="E852" s="1257" t="s">
        <v>970</v>
      </c>
      <c r="F852" s="1258"/>
      <c r="G852" s="1261"/>
      <c r="H852" s="1263">
        <v>26.76</v>
      </c>
      <c r="I852" s="477">
        <f t="shared" si="95"/>
        <v>6027.5100000000039</v>
      </c>
      <c r="J852" s="466" t="s">
        <v>998</v>
      </c>
      <c r="K852" s="20">
        <f t="shared" si="101"/>
        <v>6261</v>
      </c>
      <c r="L852" s="74" t="str">
        <f>VLOOKUP($J852,'2 CODIFICATION'!A$5:B$21,2,"FAUX")</f>
        <v>PROJET FORAGES</v>
      </c>
      <c r="M852" s="74" t="str">
        <f>VLOOKUP($K852,'2 CODIFICATION'!D$5:E$64,2,"FAUX")</f>
        <v>Frais d'envoi</v>
      </c>
      <c r="N852" s="74">
        <v>626100</v>
      </c>
      <c r="O852" s="206">
        <f t="shared" si="99"/>
        <v>-26.76</v>
      </c>
      <c r="P852" s="74">
        <f t="shared" si="100"/>
        <v>2024</v>
      </c>
      <c r="Q852" s="270" t="str">
        <f>VLOOKUP($N852,'2 CODIFICATION'!$G$5:$L$71,3,FALSE)</f>
        <v>Frais postaux</v>
      </c>
      <c r="R852" s="271" t="str">
        <f>VLOOKUP($N852,'2 CODIFICATION'!$G$5:$L$71,4,FALSE)</f>
        <v>chges</v>
      </c>
      <c r="S852" s="271">
        <f>VLOOKUP($N852,'2 CODIFICATION'!$G$5:$L$71,5,FALSE)</f>
        <v>62</v>
      </c>
      <c r="T852" s="270" t="str">
        <f>VLOOKUP($N852,'2 CODIFICATION'!$G$5:$L$71,6,FALSE)</f>
        <v>Autres services extérieurs</v>
      </c>
    </row>
    <row r="853" spans="1:20" hidden="1">
      <c r="A853" s="201" t="s">
        <v>170</v>
      </c>
      <c r="B853" s="508" t="s">
        <v>79</v>
      </c>
      <c r="D853" s="1259">
        <v>45644</v>
      </c>
      <c r="E853" s="1257" t="s">
        <v>957</v>
      </c>
      <c r="F853" s="1258"/>
      <c r="G853" s="1261">
        <v>50</v>
      </c>
      <c r="H853" s="1263"/>
      <c r="I853" s="477">
        <f t="shared" si="95"/>
        <v>6077.5100000000039</v>
      </c>
      <c r="J853" s="466" t="s">
        <v>273</v>
      </c>
      <c r="K853" s="20">
        <f t="shared" si="101"/>
        <v>7581</v>
      </c>
      <c r="L853" s="74" t="str">
        <f>VLOOKUP($J853,'2 CODIFICATION'!A$5:B$21,2,"FAUX")</f>
        <v>ADMINIST ET FONCT</v>
      </c>
      <c r="M853" s="74" t="str">
        <f>VLOOKUP($K853,'2 CODIFICATION'!D$5:E$64,2,"FAUX")</f>
        <v>Adhésions association</v>
      </c>
      <c r="N853" s="74">
        <v>758100</v>
      </c>
      <c r="O853" s="206">
        <f t="shared" si="99"/>
        <v>50</v>
      </c>
      <c r="P853" s="74">
        <f t="shared" si="100"/>
        <v>2024</v>
      </c>
      <c r="Q853" s="270" t="str">
        <f>VLOOKUP($N853,'2 CODIFICATION'!$G$5:$L$71,3,FALSE)</f>
        <v>Cotisations individuelles et associatives</v>
      </c>
      <c r="R853" s="271" t="str">
        <f>VLOOKUP($N853,'2 CODIFICATION'!$G$5:$L$71,4,FALSE)</f>
        <v>pdts</v>
      </c>
      <c r="S853" s="271">
        <f>VLOOKUP($N853,'2 CODIFICATION'!$G$5:$L$71,5,FALSE)</f>
        <v>75</v>
      </c>
      <c r="T853" s="270" t="str">
        <f>VLOOKUP($N853,'2 CODIFICATION'!$G$5:$L$71,6,FALSE)</f>
        <v>Autres produits de gestion courante</v>
      </c>
    </row>
    <row r="854" spans="1:20" hidden="1">
      <c r="A854" s="201" t="s">
        <v>170</v>
      </c>
      <c r="B854" s="508" t="s">
        <v>79</v>
      </c>
      <c r="D854" s="1259">
        <v>45645</v>
      </c>
      <c r="E854" s="1257" t="s">
        <v>958</v>
      </c>
      <c r="F854" s="1258"/>
      <c r="G854" s="1261">
        <v>50</v>
      </c>
      <c r="H854" s="1263"/>
      <c r="I854" s="477">
        <f t="shared" si="95"/>
        <v>6127.5100000000039</v>
      </c>
      <c r="J854" s="466" t="s">
        <v>273</v>
      </c>
      <c r="K854" s="20">
        <f t="shared" si="101"/>
        <v>7581</v>
      </c>
      <c r="L854" s="74" t="str">
        <f>VLOOKUP($J854,'2 CODIFICATION'!A$5:B$21,2,"FAUX")</f>
        <v>ADMINIST ET FONCT</v>
      </c>
      <c r="M854" s="74" t="str">
        <f>VLOOKUP($K854,'2 CODIFICATION'!D$5:E$64,2,"FAUX")</f>
        <v>Adhésions association</v>
      </c>
      <c r="N854" s="74">
        <v>758100</v>
      </c>
      <c r="O854" s="206">
        <f t="shared" si="99"/>
        <v>50</v>
      </c>
      <c r="P854" s="74">
        <f t="shared" si="100"/>
        <v>2024</v>
      </c>
      <c r="Q854" s="270" t="str">
        <f>VLOOKUP($N854,'2 CODIFICATION'!$G$5:$L$71,3,FALSE)</f>
        <v>Cotisations individuelles et associatives</v>
      </c>
      <c r="R854" s="271" t="str">
        <f>VLOOKUP($N854,'2 CODIFICATION'!$G$5:$L$71,4,FALSE)</f>
        <v>pdts</v>
      </c>
      <c r="S854" s="271">
        <f>VLOOKUP($N854,'2 CODIFICATION'!$G$5:$L$71,5,FALSE)</f>
        <v>75</v>
      </c>
      <c r="T854" s="270" t="str">
        <f>VLOOKUP($N854,'2 CODIFICATION'!$G$5:$L$71,6,FALSE)</f>
        <v>Autres produits de gestion courante</v>
      </c>
    </row>
    <row r="855" spans="1:20" hidden="1">
      <c r="A855" s="201" t="s">
        <v>170</v>
      </c>
      <c r="B855" s="508" t="s">
        <v>79</v>
      </c>
      <c r="D855" s="1259">
        <v>45653</v>
      </c>
      <c r="E855" s="1257" t="s">
        <v>960</v>
      </c>
      <c r="F855" s="1258"/>
      <c r="G855" s="1261">
        <v>27000</v>
      </c>
      <c r="H855" s="1263"/>
      <c r="I855" s="477">
        <f t="shared" si="95"/>
        <v>33127.51</v>
      </c>
      <c r="J855" s="466" t="s">
        <v>998</v>
      </c>
      <c r="K855" s="20">
        <f t="shared" si="101"/>
        <v>7440</v>
      </c>
      <c r="L855" s="74" t="str">
        <f>VLOOKUP($J855,'2 CODIFICATION'!A$5:B$21,2,"FAUX")</f>
        <v>PROJET FORAGES</v>
      </c>
      <c r="M855" s="74" t="str">
        <f>VLOOKUP($K855,'2 CODIFICATION'!D$5:E$64,2,"FAUX")</f>
        <v>Subvention Bx Métropole</v>
      </c>
      <c r="N855" s="74">
        <v>744000</v>
      </c>
      <c r="O855" s="206">
        <f t="shared" si="99"/>
        <v>27000</v>
      </c>
      <c r="P855" s="74">
        <f t="shared" si="100"/>
        <v>2024</v>
      </c>
      <c r="Q855" s="270" t="str">
        <f>VLOOKUP($N855,'2 CODIFICATION'!$G$5:$L$71,3,FALSE)</f>
        <v>Subvention Bx Métropole</v>
      </c>
      <c r="R855" s="271" t="str">
        <f>VLOOKUP($N855,'2 CODIFICATION'!$G$5:$L$71,4,FALSE)</f>
        <v>pdts</v>
      </c>
      <c r="S855" s="271">
        <f>VLOOKUP($N855,'2 CODIFICATION'!$G$5:$L$71,5,FALSE)</f>
        <v>74</v>
      </c>
      <c r="T855" s="270" t="str">
        <f>VLOOKUP($N855,'2 CODIFICATION'!$G$5:$L$71,6,FALSE)</f>
        <v>Subventions d'exploitation</v>
      </c>
    </row>
    <row r="856" spans="1:20" hidden="1">
      <c r="A856" s="201" t="s">
        <v>170</v>
      </c>
      <c r="B856" s="508" t="s">
        <v>79</v>
      </c>
      <c r="D856" s="1259">
        <v>45657</v>
      </c>
      <c r="E856" s="1257" t="s">
        <v>959</v>
      </c>
      <c r="F856" s="1258"/>
      <c r="G856" s="1261">
        <v>20</v>
      </c>
      <c r="H856" s="1263"/>
      <c r="I856" s="477">
        <f t="shared" si="95"/>
        <v>33147.51</v>
      </c>
      <c r="J856" s="466" t="s">
        <v>273</v>
      </c>
      <c r="K856" s="20">
        <f t="shared" si="101"/>
        <v>7581</v>
      </c>
      <c r="L856" s="74" t="str">
        <f>VLOOKUP($J856,'2 CODIFICATION'!A$5:B$21,2,"FAUX")</f>
        <v>ADMINIST ET FONCT</v>
      </c>
      <c r="M856" s="74" t="str">
        <f>VLOOKUP($K856,'2 CODIFICATION'!D$5:E$64,2,"FAUX")</f>
        <v>Adhésions association</v>
      </c>
      <c r="N856" s="74">
        <v>758100</v>
      </c>
      <c r="O856" s="206">
        <f t="shared" si="99"/>
        <v>20</v>
      </c>
      <c r="P856" s="74">
        <f t="shared" si="100"/>
        <v>2024</v>
      </c>
      <c r="Q856" s="270" t="str">
        <f>VLOOKUP($N856,'2 CODIFICATION'!$G$5:$L$71,3,FALSE)</f>
        <v>Cotisations individuelles et associatives</v>
      </c>
      <c r="R856" s="271" t="str">
        <f>VLOOKUP($N856,'2 CODIFICATION'!$G$5:$L$71,4,FALSE)</f>
        <v>pdts</v>
      </c>
      <c r="S856" s="271">
        <f>VLOOKUP($N856,'2 CODIFICATION'!$G$5:$L$71,5,FALSE)</f>
        <v>75</v>
      </c>
      <c r="T856" s="270" t="str">
        <f>VLOOKUP($N856,'2 CODIFICATION'!$G$5:$L$71,6,FALSE)</f>
        <v>Autres produits de gestion courante</v>
      </c>
    </row>
    <row r="857" spans="1:20" hidden="1">
      <c r="A857" s="201" t="s">
        <v>170</v>
      </c>
      <c r="B857" s="508" t="s">
        <v>79</v>
      </c>
      <c r="D857" s="1259">
        <v>45657</v>
      </c>
      <c r="E857" s="1257" t="s">
        <v>936</v>
      </c>
      <c r="F857" s="1258"/>
      <c r="G857" s="1258">
        <v>200</v>
      </c>
      <c r="H857" s="1263"/>
      <c r="I857" s="477">
        <f t="shared" si="95"/>
        <v>33347.51</v>
      </c>
      <c r="J857" s="466" t="s">
        <v>273</v>
      </c>
      <c r="K857" s="20">
        <f>N857/100</f>
        <v>7581</v>
      </c>
      <c r="L857" s="74" t="str">
        <f>VLOOKUP($J857,'2 CODIFICATION'!A$5:B$21,2,"FAUX")</f>
        <v>ADMINIST ET FONCT</v>
      </c>
      <c r="M857" s="74" t="str">
        <f>VLOOKUP($K857,'2 CODIFICATION'!D$5:E$64,2,"FAUX")</f>
        <v>Adhésions association</v>
      </c>
      <c r="N857" s="74">
        <v>758100</v>
      </c>
      <c r="O857" s="206">
        <f>G857-H857</f>
        <v>200</v>
      </c>
      <c r="P857" s="74">
        <f>YEAR(D857)</f>
        <v>2024</v>
      </c>
      <c r="Q857" s="270" t="str">
        <f>VLOOKUP($N857,'2 CODIFICATION'!$G$5:$L$71,3,FALSE)</f>
        <v>Cotisations individuelles et associatives</v>
      </c>
      <c r="R857" s="271" t="str">
        <f>VLOOKUP($N857,'2 CODIFICATION'!$G$5:$L$71,4,FALSE)</f>
        <v>pdts</v>
      </c>
      <c r="S857" s="271">
        <f>VLOOKUP($N857,'2 CODIFICATION'!$G$5:$L$71,5,FALSE)</f>
        <v>75</v>
      </c>
      <c r="T857" s="270" t="str">
        <f>VLOOKUP($N857,'2 CODIFICATION'!$G$5:$L$71,6,FALSE)</f>
        <v>Autres produits de gestion courante</v>
      </c>
    </row>
    <row r="858" spans="1:20" ht="15.5" hidden="1">
      <c r="A858" s="78" t="s">
        <v>170</v>
      </c>
      <c r="B858" s="374" t="s">
        <v>79</v>
      </c>
      <c r="C858" s="1260"/>
      <c r="D858" s="844">
        <v>45403</v>
      </c>
      <c r="E858" s="1272" t="s">
        <v>988</v>
      </c>
      <c r="G858" s="1279"/>
      <c r="H858" s="1263">
        <v>55.4</v>
      </c>
      <c r="I858" s="477">
        <f>+I857+G858-H858</f>
        <v>33292.11</v>
      </c>
      <c r="J858" s="1283" t="s">
        <v>527</v>
      </c>
      <c r="K858" s="22">
        <f>+N858/100</f>
        <v>7588</v>
      </c>
      <c r="L858" s="74" t="str">
        <f>VLOOKUP($J858,'2 CODIFICATION'!A$5:B$21,2,"FAUX")</f>
        <v>TOILETTES ECOSAN</v>
      </c>
      <c r="M858" s="74" t="str">
        <f>VLOOKUP($K858,'2 CODIFICATION'!D$8:E$64,2,"FAUX")</f>
        <v>Fonds propres</v>
      </c>
      <c r="N858" s="85">
        <v>758800</v>
      </c>
      <c r="O858" s="206">
        <f t="shared" ref="O858:O859" si="105">G858-H858</f>
        <v>-55.4</v>
      </c>
      <c r="P858" s="84">
        <f t="shared" ref="P858:P859" si="106">YEAR(D858)</f>
        <v>2024</v>
      </c>
      <c r="Q858" s="11" t="str">
        <f>VLOOKUP($N858,'2 CODIFICATION'!$G$5:$L$71,3,FALSE)</f>
        <v>Fonds propres</v>
      </c>
      <c r="R858" s="53" t="str">
        <f>VLOOKUP($N858,'2 CODIFICATION'!$G$5:$L$71,4,FALSE)</f>
        <v>pdts</v>
      </c>
      <c r="S858" s="53">
        <f>VLOOKUP($N858,'2 CODIFICATION'!$G$5:$L$71,5,FALSE)</f>
        <v>75</v>
      </c>
      <c r="T858" s="11" t="str">
        <f>VLOOKUP($N858,'2 CODIFICATION'!$G$5:$L$71,6,FALSE)</f>
        <v>Produits financiers</v>
      </c>
    </row>
    <row r="859" spans="1:20" ht="15.5" hidden="1">
      <c r="A859" s="78" t="s">
        <v>170</v>
      </c>
      <c r="B859" s="374" t="s">
        <v>79</v>
      </c>
      <c r="C859" s="1260"/>
      <c r="D859" s="844">
        <v>45403</v>
      </c>
      <c r="E859" s="1272" t="str">
        <f>E858</f>
        <v>ajustement dépenses ECOSAN</v>
      </c>
      <c r="G859" s="1279">
        <v>55.4</v>
      </c>
      <c r="H859" s="1263"/>
      <c r="I859" s="477">
        <f t="shared" si="95"/>
        <v>33347.51</v>
      </c>
      <c r="J859" s="1283" t="s">
        <v>273</v>
      </c>
      <c r="K859" s="22">
        <f>+N859/100</f>
        <v>7588</v>
      </c>
      <c r="L859" s="74" t="str">
        <f>VLOOKUP($J859,'2 CODIFICATION'!A$5:B$21,2,"FAUX")</f>
        <v>ADMINIST ET FONCT</v>
      </c>
      <c r="M859" s="74" t="str">
        <f>VLOOKUP($K859,'2 CODIFICATION'!D$8:E$64,2,"FAUX")</f>
        <v>Fonds propres</v>
      </c>
      <c r="N859" s="85">
        <v>758800</v>
      </c>
      <c r="O859" s="206">
        <f t="shared" si="105"/>
        <v>55.4</v>
      </c>
      <c r="P859" s="84">
        <f t="shared" si="106"/>
        <v>2024</v>
      </c>
      <c r="Q859" s="11" t="str">
        <f>VLOOKUP($N859,'2 CODIFICATION'!$G$5:$L$71,3,FALSE)</f>
        <v>Fonds propres</v>
      </c>
      <c r="R859" s="53" t="str">
        <f>VLOOKUP($N859,'2 CODIFICATION'!$G$5:$L$71,4,FALSE)</f>
        <v>pdts</v>
      </c>
      <c r="S859" s="53">
        <f>VLOOKUP($N859,'2 CODIFICATION'!$G$5:$L$71,5,FALSE)</f>
        <v>75</v>
      </c>
      <c r="T859" s="11" t="str">
        <f>VLOOKUP($N859,'2 CODIFICATION'!$G$5:$L$71,6,FALSE)</f>
        <v>Produits financiers</v>
      </c>
    </row>
    <row r="860" spans="1:20" ht="15.5" hidden="1">
      <c r="A860" s="78" t="s">
        <v>170</v>
      </c>
      <c r="B860" s="374" t="s">
        <v>79</v>
      </c>
      <c r="C860" s="1260"/>
      <c r="D860" s="844">
        <v>45403</v>
      </c>
      <c r="E860" s="1272" t="s">
        <v>980</v>
      </c>
      <c r="G860" s="1279"/>
      <c r="H860" s="1263">
        <v>0.34</v>
      </c>
      <c r="I860" s="477">
        <f>+I859+G860-H860</f>
        <v>33347.170000000006</v>
      </c>
      <c r="J860" s="1283" t="s">
        <v>527</v>
      </c>
      <c r="K860" s="22">
        <f>+N860/100</f>
        <v>4500</v>
      </c>
      <c r="L860" s="74" t="str">
        <f>VLOOKUP($J860,'2 CODIFICATION'!A$5:B$21,2,"FAUX")</f>
        <v>TOILETTES ECOSAN</v>
      </c>
      <c r="M860" s="74" t="str">
        <f>VLOOKUP($K860,'2 CODIFICATION'!D$3:E$64,2,"FAUX")</f>
        <v>Compte courant</v>
      </c>
      <c r="N860" s="85">
        <v>450000</v>
      </c>
      <c r="O860" s="206">
        <f t="shared" ref="O860:O928" si="107">G860-H860</f>
        <v>-0.34</v>
      </c>
      <c r="P860" s="84">
        <f t="shared" ref="P860:P861" si="108">YEAR(D860)</f>
        <v>2024</v>
      </c>
      <c r="Q860" s="11" t="str">
        <f>VLOOKUP($N860,'2 CODIFICATION'!$G$5:$L$71,3,FALSE)</f>
        <v>Compte courant</v>
      </c>
      <c r="R860" s="53" t="str">
        <f>VLOOKUP($N860,'2 CODIFICATION'!$G$5:$L$71,4,FALSE)</f>
        <v>bilan</v>
      </c>
      <c r="S860" s="53">
        <f>VLOOKUP($N860,'2 CODIFICATION'!$G$5:$L$71,5,FALSE)</f>
        <v>45</v>
      </c>
      <c r="T860" s="11" t="str">
        <f>VLOOKUP($N860,'2 CODIFICATION'!$G$5:$L$71,6,FALSE)</f>
        <v>Compte courant</v>
      </c>
    </row>
    <row r="861" spans="1:20" ht="15.5" hidden="1">
      <c r="A861" s="78" t="s">
        <v>170</v>
      </c>
      <c r="B861" s="374" t="s">
        <v>79</v>
      </c>
      <c r="C861" s="1260"/>
      <c r="D861" s="844">
        <v>45403</v>
      </c>
      <c r="E861" s="1272" t="s">
        <v>980</v>
      </c>
      <c r="G861" s="1279">
        <f>+H860</f>
        <v>0.34</v>
      </c>
      <c r="H861" s="1263"/>
      <c r="I861" s="477">
        <f t="shared" ref="I861" si="109">+I860+G861-H861</f>
        <v>33347.51</v>
      </c>
      <c r="J861" s="1283" t="s">
        <v>273</v>
      </c>
      <c r="K861" s="22">
        <f>+N861/100</f>
        <v>7588</v>
      </c>
      <c r="L861" s="74" t="str">
        <f>VLOOKUP($J861,'2 CODIFICATION'!A$5:B$21,2,"FAUX")</f>
        <v>ADMINIST ET FONCT</v>
      </c>
      <c r="M861" s="74" t="str">
        <f>VLOOKUP($K861,'2 CODIFICATION'!D$8:E$64,2,"FAUX")</f>
        <v>Fonds propres</v>
      </c>
      <c r="N861" s="85">
        <v>758800</v>
      </c>
      <c r="O861" s="206">
        <f t="shared" si="107"/>
        <v>0.34</v>
      </c>
      <c r="P861" s="84">
        <f t="shared" si="108"/>
        <v>2024</v>
      </c>
      <c r="Q861" s="11" t="str">
        <f>VLOOKUP($N861,'2 CODIFICATION'!$G$5:$L$71,3,FALSE)</f>
        <v>Fonds propres</v>
      </c>
      <c r="R861" s="53" t="str">
        <f>VLOOKUP($N861,'2 CODIFICATION'!$G$5:$L$71,4,FALSE)</f>
        <v>pdts</v>
      </c>
      <c r="S861" s="53">
        <f>VLOOKUP($N861,'2 CODIFICATION'!$G$5:$L$71,5,FALSE)</f>
        <v>75</v>
      </c>
      <c r="T861" s="11" t="str">
        <f>VLOOKUP($N861,'2 CODIFICATION'!$G$5:$L$71,6,FALSE)</f>
        <v>Produits financiers</v>
      </c>
    </row>
    <row r="862" spans="1:20" s="1138" customFormat="1" hidden="1">
      <c r="A862" s="78" t="s">
        <v>1004</v>
      </c>
      <c r="B862" s="78" t="s">
        <v>79</v>
      </c>
      <c r="D862" s="1139">
        <v>45838</v>
      </c>
      <c r="E862" s="1070" t="s">
        <v>888</v>
      </c>
      <c r="F862" s="1071"/>
      <c r="G862" s="1474">
        <v>912.5</v>
      </c>
      <c r="H862" s="1065"/>
      <c r="I862" s="1065">
        <v>-31399.002</v>
      </c>
      <c r="J862" s="74" t="s">
        <v>998</v>
      </c>
      <c r="K862" s="22">
        <f t="shared" ref="K862:K930" si="110">+N862/100</f>
        <v>7480</v>
      </c>
      <c r="L862" s="74" t="str">
        <f>VLOOKUP($J862,'2 CODIFICATION'!A$5:B$21,2,"FAUX")</f>
        <v>PROJET FORAGES</v>
      </c>
      <c r="M862" s="74" t="str">
        <f>VLOOKUP($K862,'2 CODIFICATION'!D$8:E$64,2,"FAUX")</f>
        <v>Subventions Teuillac</v>
      </c>
      <c r="N862" s="84">
        <v>748000</v>
      </c>
      <c r="O862" s="206">
        <f t="shared" si="107"/>
        <v>912.5</v>
      </c>
      <c r="P862" s="84">
        <f>+YEAR(D862)</f>
        <v>2025</v>
      </c>
      <c r="Q862" s="11" t="str">
        <f>VLOOKUP($N862,'2 CODIFICATION'!$G$5:$L$71,3,FALSE)</f>
        <v>Mairie de Teuillac</v>
      </c>
      <c r="R862" s="53" t="str">
        <f>VLOOKUP($N862,'2 CODIFICATION'!$G$5:$L$71,4,FALSE)</f>
        <v>pdts</v>
      </c>
      <c r="S862" s="53">
        <f>VLOOKUP($N862,'2 CODIFICATION'!$G$5:$L$71,5,FALSE)</f>
        <v>74</v>
      </c>
      <c r="T862" s="11" t="str">
        <f>VLOOKUP($N862,'2 CODIFICATION'!$G$5:$L$71,6,FALSE)</f>
        <v>Subventions d'exploitation</v>
      </c>
    </row>
    <row r="863" spans="1:20" s="78" customFormat="1" ht="15" customHeight="1">
      <c r="A863" s="78" t="s">
        <v>1004</v>
      </c>
      <c r="B863" s="78" t="s">
        <v>79</v>
      </c>
      <c r="C863" s="79"/>
      <c r="D863" s="80">
        <v>45658</v>
      </c>
      <c r="E863" s="79" t="s">
        <v>162</v>
      </c>
      <c r="F863" s="147"/>
      <c r="G863" s="518">
        <v>15</v>
      </c>
      <c r="H863" s="518"/>
      <c r="I863" s="519">
        <v>15</v>
      </c>
      <c r="J863" s="524" t="s">
        <v>273</v>
      </c>
      <c r="K863" s="22">
        <f t="shared" si="110"/>
        <v>5120</v>
      </c>
      <c r="L863" s="74" t="str">
        <f>VLOOKUP($J863,'2 CODIFICATION'!A$5:B$21,2,"FAUX")</f>
        <v>ADMINIST ET FONCT</v>
      </c>
      <c r="M863" s="74" t="str">
        <f>VLOOKUP($K863,'2 CODIFICATION'!D$8:E$64,2,"FAUX")</f>
        <v>Banque</v>
      </c>
      <c r="N863" s="84">
        <v>512000</v>
      </c>
      <c r="O863" s="206">
        <f t="shared" si="107"/>
        <v>15</v>
      </c>
      <c r="P863" s="84">
        <f t="shared" ref="P863:P933" si="111">+YEAR(D863)</f>
        <v>2025</v>
      </c>
      <c r="Q863" s="11" t="str">
        <f>VLOOKUP($N863,'2 CODIFICATION'!$G$5:$L$71,3,FALSE)</f>
        <v>Banque</v>
      </c>
      <c r="R863" s="53" t="str">
        <f>VLOOKUP($N863,'2 CODIFICATION'!$G$5:$L$71,4,FALSE)</f>
        <v>bilan</v>
      </c>
      <c r="S863" s="53">
        <f>VLOOKUP($N863,'2 CODIFICATION'!$G$5:$L$71,5,FALSE)</f>
        <v>50</v>
      </c>
      <c r="T863" s="11" t="str">
        <f>VLOOKUP($N863,'2 CODIFICATION'!$G$5:$L$71,6,FALSE)</f>
        <v>Trésorerie</v>
      </c>
    </row>
    <row r="864" spans="1:20" s="78" customFormat="1" ht="15" customHeight="1">
      <c r="A864" s="78" t="s">
        <v>1004</v>
      </c>
      <c r="B864" s="78" t="s">
        <v>79</v>
      </c>
      <c r="C864" s="79"/>
      <c r="D864" s="80">
        <v>45658</v>
      </c>
      <c r="E864" s="79" t="s">
        <v>162</v>
      </c>
      <c r="F864" s="147"/>
      <c r="G864" s="518">
        <v>2644.16</v>
      </c>
      <c r="H864" s="518"/>
      <c r="I864" s="471">
        <v>4389.6440000000002</v>
      </c>
      <c r="J864" s="524" t="s">
        <v>273</v>
      </c>
      <c r="K864" s="22">
        <f t="shared" si="110"/>
        <v>5120</v>
      </c>
      <c r="L864" s="74" t="str">
        <f>VLOOKUP($J864,'2 CODIFICATION'!A$5:B$21,2,"FAUX")</f>
        <v>ADMINIST ET FONCT</v>
      </c>
      <c r="M864" s="74" t="str">
        <f>VLOOKUP($K864,'2 CODIFICATION'!D$8:E$64,2,"FAUX")</f>
        <v>Banque</v>
      </c>
      <c r="N864" s="84">
        <v>512000</v>
      </c>
      <c r="O864" s="206">
        <f t="shared" si="107"/>
        <v>2644.16</v>
      </c>
      <c r="P864" s="84">
        <f t="shared" si="111"/>
        <v>2025</v>
      </c>
      <c r="Q864" s="11" t="str">
        <f>VLOOKUP($N864,'2 CODIFICATION'!$G$5:$L$71,3,FALSE)</f>
        <v>Banque</v>
      </c>
      <c r="R864" s="53" t="str">
        <f>VLOOKUP($N864,'2 CODIFICATION'!$G$5:$L$71,4,FALSE)</f>
        <v>bilan</v>
      </c>
      <c r="S864" s="53">
        <f>VLOOKUP($N864,'2 CODIFICATION'!$G$5:$L$71,5,FALSE)</f>
        <v>50</v>
      </c>
      <c r="T864" s="11" t="str">
        <f>VLOOKUP($N864,'2 CODIFICATION'!$G$5:$L$71,6,FALSE)</f>
        <v>Trésorerie</v>
      </c>
    </row>
    <row r="865" spans="1:20" s="78" customFormat="1" ht="15" hidden="1" customHeight="1">
      <c r="A865" s="78" t="s">
        <v>1004</v>
      </c>
      <c r="B865" s="78" t="s">
        <v>79</v>
      </c>
      <c r="C865" s="79"/>
      <c r="D865" s="80">
        <v>45658</v>
      </c>
      <c r="E865" s="79" t="s">
        <v>162</v>
      </c>
      <c r="F865" s="147"/>
      <c r="G865" s="518">
        <v>-1244.8900000000001</v>
      </c>
      <c r="H865" s="518"/>
      <c r="I865" s="471">
        <v>4389.6440000000002</v>
      </c>
      <c r="J865" s="524" t="s">
        <v>527</v>
      </c>
      <c r="K865" s="22">
        <f t="shared" si="110"/>
        <v>5120</v>
      </c>
      <c r="L865" s="74" t="str">
        <f>VLOOKUP($J865,'2 CODIFICATION'!A$5:B$21,2,"FAUX")</f>
        <v>TOILETTES ECOSAN</v>
      </c>
      <c r="M865" s="74" t="str">
        <f>VLOOKUP($K865,'2 CODIFICATION'!D$8:E$64,2,"FAUX")</f>
        <v>Banque</v>
      </c>
      <c r="N865" s="84">
        <v>512000</v>
      </c>
      <c r="O865" s="206">
        <f t="shared" si="107"/>
        <v>-1244.8900000000001</v>
      </c>
      <c r="P865" s="84">
        <f t="shared" ref="P865:P866" si="112">+YEAR(D865)</f>
        <v>2025</v>
      </c>
      <c r="Q865" s="11" t="str">
        <f>VLOOKUP($N865,'2 CODIFICATION'!$G$5:$L$71,3,FALSE)</f>
        <v>Banque</v>
      </c>
      <c r="R865" s="53" t="str">
        <f>VLOOKUP($N865,'2 CODIFICATION'!$G$5:$L$71,4,FALSE)</f>
        <v>bilan</v>
      </c>
      <c r="S865" s="53">
        <f>VLOOKUP($N865,'2 CODIFICATION'!$G$5:$L$71,5,FALSE)</f>
        <v>50</v>
      </c>
      <c r="T865" s="11" t="str">
        <f>VLOOKUP($N865,'2 CODIFICATION'!$G$5:$L$71,6,FALSE)</f>
        <v>Trésorerie</v>
      </c>
    </row>
    <row r="866" spans="1:20" s="78" customFormat="1" ht="15" hidden="1" customHeight="1">
      <c r="A866" s="78" t="s">
        <v>1004</v>
      </c>
      <c r="B866" s="78" t="s">
        <v>79</v>
      </c>
      <c r="C866" s="1467"/>
      <c r="D866" s="80">
        <v>45717</v>
      </c>
      <c r="E866" s="1467" t="s">
        <v>1006</v>
      </c>
      <c r="F866" s="1467"/>
      <c r="G866" s="1468">
        <v>16344</v>
      </c>
      <c r="H866" s="1468"/>
      <c r="I866" s="1089"/>
      <c r="J866" s="524" t="s">
        <v>527</v>
      </c>
      <c r="K866" s="22">
        <f t="shared" si="110"/>
        <v>5120</v>
      </c>
      <c r="L866" s="74" t="str">
        <f>VLOOKUP($J866,'2 CODIFICATION'!A$5:B$21,2,"FAUX")</f>
        <v>TOILETTES ECOSAN</v>
      </c>
      <c r="M866" s="74" t="str">
        <f>VLOOKUP($K866,'2 CODIFICATION'!D$8:E$64,2,"FAUX")</f>
        <v>Banque</v>
      </c>
      <c r="N866" s="84">
        <v>512000</v>
      </c>
      <c r="O866" s="206">
        <f t="shared" si="107"/>
        <v>16344</v>
      </c>
      <c r="P866" s="84">
        <f t="shared" si="112"/>
        <v>2025</v>
      </c>
      <c r="Q866" s="11" t="str">
        <f>VLOOKUP($N866,'2 CODIFICATION'!$G$5:$L$71,3,FALSE)</f>
        <v>Banque</v>
      </c>
      <c r="R866" s="53" t="str">
        <f>VLOOKUP($N866,'2 CODIFICATION'!$G$5:$L$71,4,FALSE)</f>
        <v>bilan</v>
      </c>
      <c r="S866" s="53">
        <f>VLOOKUP($N866,'2 CODIFICATION'!$G$5:$L$71,5,FALSE)</f>
        <v>50</v>
      </c>
      <c r="T866" s="11" t="str">
        <f>VLOOKUP($N866,'2 CODIFICATION'!$G$5:$L$71,6,FALSE)</f>
        <v>Trésorerie</v>
      </c>
    </row>
    <row r="867" spans="1:20" s="78" customFormat="1" ht="15" hidden="1" customHeight="1">
      <c r="A867" s="78" t="s">
        <v>1004</v>
      </c>
      <c r="B867" s="78" t="s">
        <v>79</v>
      </c>
      <c r="C867" s="1467"/>
      <c r="D867" s="80">
        <v>45717</v>
      </c>
      <c r="E867" s="1467" t="s">
        <v>1006</v>
      </c>
      <c r="F867" s="1467"/>
      <c r="G867" s="1468"/>
      <c r="H867" s="1468"/>
      <c r="I867" s="1089"/>
      <c r="J867" s="524" t="s">
        <v>527</v>
      </c>
      <c r="K867" s="22">
        <f t="shared" ref="K867" si="113">+N867/100</f>
        <v>7430</v>
      </c>
      <c r="L867" s="74" t="str">
        <f>VLOOKUP($J867,'2 CODIFICATION'!A$5:B$21,2,"FAUX")</f>
        <v>TOILETTES ECOSAN</v>
      </c>
      <c r="M867" s="74" t="str">
        <f>VLOOKUP($K867,'2 CODIFICATION'!D$8:E$64,2,"FAUX")</f>
        <v>Subvention Agence Adour Garonne</v>
      </c>
      <c r="N867" s="74">
        <v>743000</v>
      </c>
      <c r="O867" s="206">
        <f t="shared" ref="O867" si="114">G867-H867</f>
        <v>0</v>
      </c>
      <c r="P867" s="84">
        <f t="shared" ref="P867" si="115">+YEAR(D867)</f>
        <v>2025</v>
      </c>
      <c r="Q867" s="11" t="str">
        <f>VLOOKUP($N867,'2 CODIFICATION'!$G$5:$L$71,3,FALSE)</f>
        <v>subvention Agence Adour Garonne</v>
      </c>
      <c r="R867" s="53" t="str">
        <f>VLOOKUP($N867,'2 CODIFICATION'!$G$5:$L$71,4,FALSE)</f>
        <v>pdts</v>
      </c>
      <c r="S867" s="53">
        <f>VLOOKUP($N867,'2 CODIFICATION'!$G$5:$L$71,5,FALSE)</f>
        <v>74</v>
      </c>
      <c r="T867" s="11" t="str">
        <f>VLOOKUP($N867,'2 CODIFICATION'!$G$5:$L$71,6,FALSE)</f>
        <v>Subventions d'exploitation</v>
      </c>
    </row>
    <row r="868" spans="1:20" s="78" customFormat="1" ht="15" hidden="1" customHeight="1">
      <c r="A868" s="78" t="s">
        <v>1004</v>
      </c>
      <c r="B868" s="78" t="s">
        <v>79</v>
      </c>
      <c r="C868" s="1467"/>
      <c r="D868" s="80">
        <v>45717</v>
      </c>
      <c r="E868" s="1467" t="s">
        <v>1006</v>
      </c>
      <c r="F868" s="1467"/>
      <c r="G868" s="1468"/>
      <c r="H868" s="1468">
        <v>5082</v>
      </c>
      <c r="I868" s="1089"/>
      <c r="J868" s="524" t="s">
        <v>527</v>
      </c>
      <c r="K868" s="20">
        <f t="shared" ref="K868" si="116">N868/100</f>
        <v>4010</v>
      </c>
      <c r="L868" s="74" t="str">
        <f>VLOOKUP($J868,'2 CODIFICATION'!A$5:B$21,2,"FAUX")</f>
        <v>TOILETTES ECOSAN</v>
      </c>
      <c r="M868" s="74" t="str">
        <f>VLOOKUP($K868,'2 CODIFICATION'!D$5:E$64,2,"FAUX")</f>
        <v>Fournisseurs</v>
      </c>
      <c r="N868" s="74">
        <v>401000</v>
      </c>
      <c r="O868" s="206">
        <f t="shared" si="107"/>
        <v>-5082</v>
      </c>
      <c r="P868" s="74">
        <f t="shared" ref="P868" si="117">YEAR(D868)</f>
        <v>2025</v>
      </c>
      <c r="Q868" s="270" t="str">
        <f>VLOOKUP($N868,'2 CODIFICATION'!$G$5:$L$71,3,FALSE)</f>
        <v>Fournisseurs</v>
      </c>
      <c r="R868" s="271" t="str">
        <f>VLOOKUP($N868,'2 CODIFICATION'!$G$5:$L$71,4,FALSE)</f>
        <v>bilan</v>
      </c>
      <c r="S868" s="271">
        <f>VLOOKUP($N868,'2 CODIFICATION'!$G$5:$L$71,5,FALSE)</f>
        <v>40</v>
      </c>
      <c r="T868" s="270" t="str">
        <f>VLOOKUP($N868,'2 CODIFICATION'!$G$5:$L$71,6,FALSE)</f>
        <v>Fournisseurs</v>
      </c>
    </row>
    <row r="869" spans="1:20" s="78" customFormat="1" ht="15" hidden="1" customHeight="1">
      <c r="A869" s="78" t="s">
        <v>1004</v>
      </c>
      <c r="B869" s="78" t="s">
        <v>79</v>
      </c>
      <c r="C869" s="1467"/>
      <c r="D869" s="80">
        <v>45717</v>
      </c>
      <c r="E869" s="1467" t="s">
        <v>1006</v>
      </c>
      <c r="F869" s="1467"/>
      <c r="G869" s="1468"/>
      <c r="H869" s="1468">
        <v>6847.72</v>
      </c>
      <c r="I869" s="1089"/>
      <c r="J869" s="524" t="s">
        <v>527</v>
      </c>
      <c r="K869" s="20">
        <f t="shared" ref="K869:K870" si="118">N869/100</f>
        <v>4500</v>
      </c>
      <c r="L869" s="74" t="str">
        <f>VLOOKUP($J869,'2 CODIFICATION'!A$5:B$21,2,"FAUX")</f>
        <v>TOILETTES ECOSAN</v>
      </c>
      <c r="M869" s="74" t="str">
        <f>VLOOKUP($K869,'2 CODIFICATION'!D$5:E$64,2,"FAUX")</f>
        <v>Compte courant</v>
      </c>
      <c r="N869" s="74">
        <v>450000</v>
      </c>
      <c r="O869" s="206">
        <f t="shared" ref="O869:O870" si="119">G869-H869</f>
        <v>-6847.72</v>
      </c>
      <c r="P869" s="74">
        <f t="shared" ref="P869:P870" si="120">YEAR(D869)</f>
        <v>2025</v>
      </c>
      <c r="Q869" s="270" t="str">
        <f>VLOOKUP($N869,'2 CODIFICATION'!$G$5:$L$71,3,FALSE)</f>
        <v>Compte courant</v>
      </c>
      <c r="R869" s="271" t="str">
        <f>VLOOKUP($N869,'2 CODIFICATION'!$G$5:$L$71,4,FALSE)</f>
        <v>bilan</v>
      </c>
      <c r="S869" s="271">
        <f>VLOOKUP($N869,'2 CODIFICATION'!$G$5:$L$71,5,FALSE)</f>
        <v>45</v>
      </c>
      <c r="T869" s="270" t="str">
        <f>VLOOKUP($N869,'2 CODIFICATION'!$G$5:$L$71,6,FALSE)</f>
        <v>Compte courant</v>
      </c>
    </row>
    <row r="870" spans="1:20" s="78" customFormat="1" ht="15" hidden="1" customHeight="1">
      <c r="C870" s="1467"/>
      <c r="D870" s="80">
        <v>45717</v>
      </c>
      <c r="E870" s="1467" t="s">
        <v>1006</v>
      </c>
      <c r="F870" s="1467"/>
      <c r="G870" s="1468"/>
      <c r="H870" s="1468">
        <v>3169.39</v>
      </c>
      <c r="I870" s="1089"/>
      <c r="J870" s="524" t="s">
        <v>527</v>
      </c>
      <c r="K870" s="20">
        <f t="shared" si="118"/>
        <v>4500</v>
      </c>
      <c r="L870" s="74" t="str">
        <f>VLOOKUP($J870,'2 CODIFICATION'!A$5:B$21,2,"FAUX")</f>
        <v>TOILETTES ECOSAN</v>
      </c>
      <c r="M870" s="74" t="str">
        <f>VLOOKUP($K870,'2 CODIFICATION'!D$5:E$64,2,"FAUX")</f>
        <v>Compte courant</v>
      </c>
      <c r="N870" s="74">
        <v>450000</v>
      </c>
      <c r="O870" s="206">
        <f t="shared" si="119"/>
        <v>-3169.39</v>
      </c>
      <c r="P870" s="74">
        <f t="shared" si="120"/>
        <v>2025</v>
      </c>
      <c r="Q870" s="270" t="str">
        <f>VLOOKUP($N870,'2 CODIFICATION'!$G$5:$L$71,3,FALSE)</f>
        <v>Compte courant</v>
      </c>
      <c r="R870" s="271" t="str">
        <f>VLOOKUP($N870,'2 CODIFICATION'!$G$5:$L$71,4,FALSE)</f>
        <v>bilan</v>
      </c>
      <c r="S870" s="271">
        <f>VLOOKUP($N870,'2 CODIFICATION'!$G$5:$L$71,5,FALSE)</f>
        <v>45</v>
      </c>
      <c r="T870" s="270" t="str">
        <f>VLOOKUP($N870,'2 CODIFICATION'!$G$5:$L$71,6,FALSE)</f>
        <v>Compte courant</v>
      </c>
    </row>
    <row r="871" spans="1:20" s="78" customFormat="1" ht="15" hidden="1" customHeight="1">
      <c r="A871" s="78" t="s">
        <v>1004</v>
      </c>
      <c r="B871" s="78" t="s">
        <v>79</v>
      </c>
      <c r="C871" s="79"/>
      <c r="D871" s="80">
        <v>45658</v>
      </c>
      <c r="E871" s="79" t="s">
        <v>162</v>
      </c>
      <c r="F871" s="147"/>
      <c r="G871" s="518">
        <v>26973.24</v>
      </c>
      <c r="H871" s="518"/>
      <c r="I871" s="471">
        <v>4389.6440000000002</v>
      </c>
      <c r="J871" s="524" t="s">
        <v>998</v>
      </c>
      <c r="K871" s="22">
        <f t="shared" si="110"/>
        <v>5120</v>
      </c>
      <c r="L871" s="74" t="str">
        <f>VLOOKUP($J871,'2 CODIFICATION'!A$5:B$21,2,"FAUX")</f>
        <v>PROJET FORAGES</v>
      </c>
      <c r="M871" s="74" t="str">
        <f>VLOOKUP($K871,'2 CODIFICATION'!D$8:E$64,2,"FAUX")</f>
        <v>Banque</v>
      </c>
      <c r="N871" s="84">
        <v>512000</v>
      </c>
      <c r="O871" s="206">
        <f t="shared" si="107"/>
        <v>26973.24</v>
      </c>
      <c r="P871" s="84">
        <f t="shared" si="111"/>
        <v>2025</v>
      </c>
      <c r="Q871" s="11" t="str">
        <f>VLOOKUP($N871,'2 CODIFICATION'!$G$5:$L$71,3,FALSE)</f>
        <v>Banque</v>
      </c>
      <c r="R871" s="53" t="str">
        <f>VLOOKUP($N871,'2 CODIFICATION'!$G$5:$L$71,4,FALSE)</f>
        <v>bilan</v>
      </c>
      <c r="S871" s="53">
        <f>VLOOKUP($N871,'2 CODIFICATION'!$G$5:$L$71,5,FALSE)</f>
        <v>50</v>
      </c>
      <c r="T871" s="11" t="str">
        <f>VLOOKUP($N871,'2 CODIFICATION'!$G$5:$L$71,6,FALSE)</f>
        <v>Trésorerie</v>
      </c>
    </row>
    <row r="872" spans="1:20" s="78" customFormat="1">
      <c r="A872" s="78" t="s">
        <v>1004</v>
      </c>
      <c r="B872" s="427" t="s">
        <v>79</v>
      </c>
      <c r="D872" s="1047">
        <v>45662</v>
      </c>
      <c r="E872" s="1048" t="s">
        <v>603</v>
      </c>
      <c r="G872" s="1049"/>
      <c r="H872" s="1049">
        <v>116.1</v>
      </c>
      <c r="I872" s="471">
        <v>4273.5439999999999</v>
      </c>
      <c r="J872" s="1050" t="s">
        <v>273</v>
      </c>
      <c r="K872" s="22">
        <f t="shared" si="110"/>
        <v>6160</v>
      </c>
      <c r="L872" s="74" t="str">
        <f>VLOOKUP($J872,'2 CODIFICATION'!A$5:B$21,2,"FAUX")</f>
        <v>ADMINIST ET FONCT</v>
      </c>
      <c r="M872" s="74" t="str">
        <f>VLOOKUP($K872,'2 CODIFICATION'!D$8:E$64,2,"FAUX")</f>
        <v>Assurance RC</v>
      </c>
      <c r="N872" s="84">
        <v>616000</v>
      </c>
      <c r="O872" s="206">
        <f t="shared" si="107"/>
        <v>-116.1</v>
      </c>
      <c r="P872" s="84">
        <f t="shared" si="111"/>
        <v>2025</v>
      </c>
      <c r="Q872" s="11" t="str">
        <f>VLOOKUP($N872,'2 CODIFICATION'!$G$5:$L$71,3,FALSE)</f>
        <v>Primes d'assurance</v>
      </c>
      <c r="R872" s="53" t="str">
        <f>VLOOKUP($N872,'2 CODIFICATION'!$G$5:$L$71,4,FALSE)</f>
        <v>chges</v>
      </c>
      <c r="S872" s="53">
        <f>VLOOKUP($N872,'2 CODIFICATION'!$G$5:$L$71,5,FALSE)</f>
        <v>61</v>
      </c>
      <c r="T872" s="11" t="str">
        <f>VLOOKUP($N872,'2 CODIFICATION'!$G$5:$L$71,6,FALSE)</f>
        <v>Services extérieurs</v>
      </c>
    </row>
    <row r="873" spans="1:20" s="78" customFormat="1">
      <c r="A873" s="78" t="s">
        <v>1004</v>
      </c>
      <c r="B873" s="427" t="s">
        <v>79</v>
      </c>
      <c r="D873" s="1047">
        <v>45697</v>
      </c>
      <c r="E873" s="1048" t="s">
        <v>617</v>
      </c>
      <c r="G873" s="1051">
        <v>2045</v>
      </c>
      <c r="H873" s="1049"/>
      <c r="I873" s="471">
        <v>6318.5439999999999</v>
      </c>
      <c r="J873" s="1050" t="s">
        <v>273</v>
      </c>
      <c r="K873" s="22">
        <f t="shared" si="110"/>
        <v>7771</v>
      </c>
      <c r="L873" s="74" t="str">
        <f>VLOOKUP($J873,'2 CODIFICATION'!A$5:B$21,2,"FAUX")</f>
        <v>ADMINIST ET FONCT</v>
      </c>
      <c r="M873" s="74" t="str">
        <f>VLOOKUP($K873,'2 CODIFICATION'!D$8:E$64,2,"FAUX")</f>
        <v>Dons et participations à l"association</v>
      </c>
      <c r="N873" s="84">
        <v>777100</v>
      </c>
      <c r="O873" s="206">
        <f t="shared" si="107"/>
        <v>2045</v>
      </c>
      <c r="P873" s="84">
        <f t="shared" si="111"/>
        <v>2025</v>
      </c>
      <c r="Q873" s="11" t="str">
        <f>VLOOKUP($N873,'2 CODIFICATION'!$G$5:$L$71,3,FALSE)</f>
        <v>Dons et autres mises à dispositions gratuites</v>
      </c>
      <c r="R873" s="53" t="str">
        <f>VLOOKUP($N873,'2 CODIFICATION'!$G$5:$L$71,4,FALSE)</f>
        <v>pdts</v>
      </c>
      <c r="S873" s="53">
        <f>VLOOKUP($N873,'2 CODIFICATION'!$G$5:$L$71,5,FALSE)</f>
        <v>77</v>
      </c>
      <c r="T873" s="11" t="str">
        <f>VLOOKUP($N873,'2 CODIFICATION'!$G$5:$L$71,6,FALSE)</f>
        <v>Produits exceptionnels</v>
      </c>
    </row>
    <row r="874" spans="1:20" s="78" customFormat="1">
      <c r="A874" s="78" t="s">
        <v>1004</v>
      </c>
      <c r="B874" s="427" t="s">
        <v>79</v>
      </c>
      <c r="D874" s="1047">
        <v>45739</v>
      </c>
      <c r="E874" s="1048" t="s">
        <v>600</v>
      </c>
      <c r="G874" s="1049"/>
      <c r="H874" s="1052">
        <v>255.96</v>
      </c>
      <c r="I874" s="471">
        <v>6062.5839999999998</v>
      </c>
      <c r="J874" s="1050" t="s">
        <v>273</v>
      </c>
      <c r="K874" s="22">
        <f t="shared" si="110"/>
        <v>6230</v>
      </c>
      <c r="L874" s="74" t="str">
        <f>VLOOKUP($J874,'2 CODIFICATION'!A$5:B$21,2,"FAUX")</f>
        <v>ADMINIST ET FONCT</v>
      </c>
      <c r="M874" s="74" t="str">
        <f>VLOOKUP($K874,'2 CODIFICATION'!D$8:E$64,2,"FAUX")</f>
        <v>communication</v>
      </c>
      <c r="N874" s="84">
        <v>623000</v>
      </c>
      <c r="O874" s="206">
        <f t="shared" si="107"/>
        <v>-255.96</v>
      </c>
      <c r="P874" s="84">
        <f t="shared" si="111"/>
        <v>2025</v>
      </c>
      <c r="Q874" s="11" t="str">
        <f>VLOOKUP($N874,'2 CODIFICATION'!$G$5:$L$71,3,FALSE)</f>
        <v>Publicité, publications, Création de site web</v>
      </c>
      <c r="R874" s="53" t="str">
        <f>VLOOKUP($N874,'2 CODIFICATION'!$G$5:$L$71,4,FALSE)</f>
        <v>chges</v>
      </c>
      <c r="S874" s="53">
        <f>VLOOKUP($N874,'2 CODIFICATION'!$G$5:$L$71,5,FALSE)</f>
        <v>62</v>
      </c>
      <c r="T874" s="11" t="str">
        <f>VLOOKUP($N874,'2 CODIFICATION'!$G$5:$L$71,6,FALSE)</f>
        <v>Autres services extérieurs</v>
      </c>
    </row>
    <row r="875" spans="1:20" s="78" customFormat="1">
      <c r="A875" s="78" t="s">
        <v>1004</v>
      </c>
      <c r="B875" s="427" t="s">
        <v>79</v>
      </c>
      <c r="D875" s="1047">
        <v>45750</v>
      </c>
      <c r="E875" s="1053" t="s">
        <v>618</v>
      </c>
      <c r="G875" s="1051">
        <v>350</v>
      </c>
      <c r="H875" s="1049"/>
      <c r="I875" s="471">
        <v>6412.5839999999998</v>
      </c>
      <c r="J875" s="1050" t="s">
        <v>273</v>
      </c>
      <c r="K875" s="22">
        <f t="shared" si="110"/>
        <v>7581</v>
      </c>
      <c r="L875" s="74" t="str">
        <f>VLOOKUP($J875,'2 CODIFICATION'!A$5:B$21,2,"FAUX")</f>
        <v>ADMINIST ET FONCT</v>
      </c>
      <c r="M875" s="74" t="str">
        <f>VLOOKUP($K875,'2 CODIFICATION'!D$8:E$64,2,"FAUX")</f>
        <v>Adhésions association</v>
      </c>
      <c r="N875" s="84">
        <v>758100</v>
      </c>
      <c r="O875" s="206">
        <f t="shared" si="107"/>
        <v>350</v>
      </c>
      <c r="P875" s="84">
        <f t="shared" si="111"/>
        <v>2025</v>
      </c>
      <c r="Q875" s="11" t="str">
        <f>VLOOKUP($N875,'2 CODIFICATION'!$G$5:$L$71,3,FALSE)</f>
        <v>Cotisations individuelles et associatives</v>
      </c>
      <c r="R875" s="53" t="str">
        <f>VLOOKUP($N875,'2 CODIFICATION'!$G$5:$L$71,4,FALSE)</f>
        <v>pdts</v>
      </c>
      <c r="S875" s="53">
        <f>VLOOKUP($N875,'2 CODIFICATION'!$G$5:$L$71,5,FALSE)</f>
        <v>75</v>
      </c>
      <c r="T875" s="11" t="str">
        <f>VLOOKUP($N875,'2 CODIFICATION'!$G$5:$L$71,6,FALSE)</f>
        <v>Autres produits de gestion courante</v>
      </c>
    </row>
    <row r="876" spans="1:20" s="78" customFormat="1">
      <c r="A876" s="78" t="s">
        <v>1004</v>
      </c>
      <c r="B876" s="427" t="s">
        <v>79</v>
      </c>
      <c r="D876" s="1047">
        <v>45750</v>
      </c>
      <c r="E876" s="1053" t="s">
        <v>619</v>
      </c>
      <c r="G876" s="1052">
        <v>50</v>
      </c>
      <c r="H876" s="1049"/>
      <c r="I876" s="471">
        <v>6462.5839999999998</v>
      </c>
      <c r="J876" s="1050" t="s">
        <v>273</v>
      </c>
      <c r="K876" s="22">
        <f t="shared" si="110"/>
        <v>7581</v>
      </c>
      <c r="L876" s="74" t="str">
        <f>VLOOKUP($J876,'2 CODIFICATION'!A$5:B$21,2,"FAUX")</f>
        <v>ADMINIST ET FONCT</v>
      </c>
      <c r="M876" s="74" t="str">
        <f>VLOOKUP($K876,'2 CODIFICATION'!D$8:E$64,2,"FAUX")</f>
        <v>Adhésions association</v>
      </c>
      <c r="N876" s="84">
        <v>758100</v>
      </c>
      <c r="O876" s="206">
        <f t="shared" si="107"/>
        <v>50</v>
      </c>
      <c r="P876" s="84">
        <f t="shared" si="111"/>
        <v>2025</v>
      </c>
      <c r="Q876" s="11" t="str">
        <f>VLOOKUP($N876,'2 CODIFICATION'!$G$5:$L$71,3,FALSE)</f>
        <v>Cotisations individuelles et associatives</v>
      </c>
      <c r="R876" s="53" t="str">
        <f>VLOOKUP($N876,'2 CODIFICATION'!$G$5:$L$71,4,FALSE)</f>
        <v>pdts</v>
      </c>
      <c r="S876" s="53">
        <f>VLOOKUP($N876,'2 CODIFICATION'!$G$5:$L$71,5,FALSE)</f>
        <v>75</v>
      </c>
      <c r="T876" s="11" t="str">
        <f>VLOOKUP($N876,'2 CODIFICATION'!$G$5:$L$71,6,FALSE)</f>
        <v>Autres produits de gestion courante</v>
      </c>
    </row>
    <row r="877" spans="1:20" s="78" customFormat="1">
      <c r="A877" s="78" t="s">
        <v>1004</v>
      </c>
      <c r="B877" s="427" t="s">
        <v>79</v>
      </c>
      <c r="D877" s="1047">
        <v>45760</v>
      </c>
      <c r="E877" s="1048" t="s">
        <v>609</v>
      </c>
      <c r="G877" s="1052">
        <v>50</v>
      </c>
      <c r="H877" s="1049"/>
      <c r="I877" s="471">
        <v>6512.5839999999998</v>
      </c>
      <c r="J877" s="1050" t="s">
        <v>273</v>
      </c>
      <c r="K877" s="22">
        <f t="shared" si="110"/>
        <v>7771</v>
      </c>
      <c r="L877" s="74" t="str">
        <f>VLOOKUP($J877,'2 CODIFICATION'!A$5:B$21,2,"FAUX")</f>
        <v>ADMINIST ET FONCT</v>
      </c>
      <c r="M877" s="74" t="str">
        <f>VLOOKUP($K877,'2 CODIFICATION'!D$8:E$64,2,"FAUX")</f>
        <v>Dons et participations à l"association</v>
      </c>
      <c r="N877" s="84">
        <v>777100</v>
      </c>
      <c r="O877" s="206">
        <f t="shared" si="107"/>
        <v>50</v>
      </c>
      <c r="P877" s="84">
        <f t="shared" si="111"/>
        <v>2025</v>
      </c>
      <c r="Q877" s="11" t="str">
        <f>VLOOKUP($N877,'2 CODIFICATION'!$G$5:$L$71,3,FALSE)</f>
        <v>Dons et autres mises à dispositions gratuites</v>
      </c>
      <c r="R877" s="53" t="str">
        <f>VLOOKUP($N877,'2 CODIFICATION'!$G$5:$L$71,4,FALSE)</f>
        <v>pdts</v>
      </c>
      <c r="S877" s="53">
        <f>VLOOKUP($N877,'2 CODIFICATION'!$G$5:$L$71,5,FALSE)</f>
        <v>77</v>
      </c>
      <c r="T877" s="11" t="str">
        <f>VLOOKUP($N877,'2 CODIFICATION'!$G$5:$L$71,6,FALSE)</f>
        <v>Produits exceptionnels</v>
      </c>
    </row>
    <row r="878" spans="1:20" s="78" customFormat="1">
      <c r="A878" s="78" t="s">
        <v>1004</v>
      </c>
      <c r="B878" s="427" t="s">
        <v>79</v>
      </c>
      <c r="D878" s="1047">
        <v>45766</v>
      </c>
      <c r="E878" s="1048" t="s">
        <v>610</v>
      </c>
      <c r="G878" s="1052">
        <v>300</v>
      </c>
      <c r="H878" s="1049"/>
      <c r="I878" s="471">
        <v>6812.5839999999998</v>
      </c>
      <c r="J878" s="1050" t="s">
        <v>273</v>
      </c>
      <c r="K878" s="22">
        <f t="shared" si="110"/>
        <v>7581</v>
      </c>
      <c r="L878" s="74" t="str">
        <f>VLOOKUP($J878,'2 CODIFICATION'!A$5:B$21,2,"FAUX")</f>
        <v>ADMINIST ET FONCT</v>
      </c>
      <c r="M878" s="74" t="str">
        <f>VLOOKUP($K878,'2 CODIFICATION'!D$8:E$64,2,"FAUX")</f>
        <v>Adhésions association</v>
      </c>
      <c r="N878" s="84">
        <v>758100</v>
      </c>
      <c r="O878" s="206">
        <f t="shared" si="107"/>
        <v>300</v>
      </c>
      <c r="P878" s="84">
        <f t="shared" si="111"/>
        <v>2025</v>
      </c>
      <c r="Q878" s="11" t="str">
        <f>VLOOKUP($N878,'2 CODIFICATION'!$G$5:$L$71,3,FALSE)</f>
        <v>Cotisations individuelles et associatives</v>
      </c>
      <c r="R878" s="53" t="str">
        <f>VLOOKUP($N878,'2 CODIFICATION'!$G$5:$L$71,4,FALSE)</f>
        <v>pdts</v>
      </c>
      <c r="S878" s="53">
        <f>VLOOKUP($N878,'2 CODIFICATION'!$G$5:$L$71,5,FALSE)</f>
        <v>75</v>
      </c>
      <c r="T878" s="11" t="str">
        <f>VLOOKUP($N878,'2 CODIFICATION'!$G$5:$L$71,6,FALSE)</f>
        <v>Autres produits de gestion courante</v>
      </c>
    </row>
    <row r="879" spans="1:20" s="78" customFormat="1">
      <c r="A879" s="78" t="s">
        <v>1004</v>
      </c>
      <c r="B879" s="427" t="s">
        <v>79</v>
      </c>
      <c r="D879" s="1047">
        <v>45786</v>
      </c>
      <c r="E879" s="1048" t="s">
        <v>604</v>
      </c>
      <c r="G879" s="1049"/>
      <c r="H879" s="1049">
        <v>63.99</v>
      </c>
      <c r="I879" s="471">
        <v>6748.5940000000001</v>
      </c>
      <c r="J879" s="1050" t="s">
        <v>273</v>
      </c>
      <c r="K879" s="22">
        <f t="shared" si="110"/>
        <v>6230</v>
      </c>
      <c r="L879" s="74" t="str">
        <f>VLOOKUP($J879,'2 CODIFICATION'!A$5:B$21,2,"FAUX")</f>
        <v>ADMINIST ET FONCT</v>
      </c>
      <c r="M879" s="74" t="str">
        <f>VLOOKUP($K879,'2 CODIFICATION'!D$8:E$64,2,"FAUX")</f>
        <v>communication</v>
      </c>
      <c r="N879" s="84">
        <v>623000</v>
      </c>
      <c r="O879" s="206">
        <f t="shared" si="107"/>
        <v>-63.99</v>
      </c>
      <c r="P879" s="84">
        <f t="shared" si="111"/>
        <v>2025</v>
      </c>
      <c r="Q879" s="11" t="str">
        <f>VLOOKUP($N879,'2 CODIFICATION'!$G$5:$L$71,3,FALSE)</f>
        <v>Publicité, publications, Création de site web</v>
      </c>
      <c r="R879" s="53" t="str">
        <f>VLOOKUP($N879,'2 CODIFICATION'!$G$5:$L$71,4,FALSE)</f>
        <v>chges</v>
      </c>
      <c r="S879" s="53">
        <f>VLOOKUP($N879,'2 CODIFICATION'!$G$5:$L$71,5,FALSE)</f>
        <v>62</v>
      </c>
      <c r="T879" s="11" t="str">
        <f>VLOOKUP($N879,'2 CODIFICATION'!$G$5:$L$71,6,FALSE)</f>
        <v>Autres services extérieurs</v>
      </c>
    </row>
    <row r="880" spans="1:20" s="78" customFormat="1">
      <c r="A880" s="78" t="s">
        <v>1004</v>
      </c>
      <c r="B880" s="427" t="s">
        <v>79</v>
      </c>
      <c r="D880" s="1047">
        <v>45793</v>
      </c>
      <c r="E880" s="1048" t="s">
        <v>602</v>
      </c>
      <c r="G880" s="1049"/>
      <c r="H880" s="1049">
        <v>50</v>
      </c>
      <c r="I880" s="471">
        <v>6698.5940000000001</v>
      </c>
      <c r="J880" s="1050" t="s">
        <v>273</v>
      </c>
      <c r="K880" s="22">
        <f t="shared" si="110"/>
        <v>6281</v>
      </c>
      <c r="L880" s="74" t="str">
        <f>VLOOKUP($J880,'2 CODIFICATION'!A$5:B$21,2,"FAUX")</f>
        <v>ADMINIST ET FONCT</v>
      </c>
      <c r="M880" s="74" t="str">
        <f>VLOOKUP($K880,'2 CODIFICATION'!D$8:E$64,2,"FAUX")</f>
        <v>adhésion Hellasso+ autres</v>
      </c>
      <c r="N880" s="84">
        <v>628100</v>
      </c>
      <c r="O880" s="206">
        <f t="shared" si="107"/>
        <v>-50</v>
      </c>
      <c r="P880" s="84">
        <f t="shared" si="111"/>
        <v>2025</v>
      </c>
      <c r="Q880" s="11" t="str">
        <f>VLOOKUP($N880,'2 CODIFICATION'!$G$5:$L$71,3,FALSE)</f>
        <v>adhesion Hellasso</v>
      </c>
      <c r="R880" s="53" t="str">
        <f>VLOOKUP($N880,'2 CODIFICATION'!$G$5:$L$71,4,FALSE)</f>
        <v>chges</v>
      </c>
      <c r="S880" s="53">
        <f>VLOOKUP($N880,'2 CODIFICATION'!$G$5:$L$71,5,FALSE)</f>
        <v>62</v>
      </c>
      <c r="T880" s="11" t="str">
        <f>VLOOKUP($N880,'2 CODIFICATION'!$G$5:$L$71,6,FALSE)</f>
        <v>Autres services extérieurs</v>
      </c>
    </row>
    <row r="881" spans="1:20" s="78" customFormat="1">
      <c r="A881" s="78" t="s">
        <v>1004</v>
      </c>
      <c r="B881" s="427" t="s">
        <v>79</v>
      </c>
      <c r="D881" s="1047">
        <v>45793</v>
      </c>
      <c r="E881" s="1048" t="s">
        <v>730</v>
      </c>
      <c r="G881" s="1049">
        <v>0.34</v>
      </c>
      <c r="H881" s="1049"/>
      <c r="I881" s="471">
        <v>6698.9340000000002</v>
      </c>
      <c r="J881" s="1050" t="s">
        <v>273</v>
      </c>
      <c r="K881" s="22">
        <f t="shared" si="110"/>
        <v>7660</v>
      </c>
      <c r="L881" s="74" t="str">
        <f>VLOOKUP($J881,'2 CODIFICATION'!A$5:B$21,2,"FAUX")</f>
        <v>ADMINIST ET FONCT</v>
      </c>
      <c r="M881" s="74" t="str">
        <f>VLOOKUP($K881,'2 CODIFICATION'!D$8:E$64,2,"FAUX")</f>
        <v>Produits financiers</v>
      </c>
      <c r="N881" s="84">
        <v>766000</v>
      </c>
      <c r="O881" s="206">
        <f t="shared" si="107"/>
        <v>0.34</v>
      </c>
      <c r="P881" s="84">
        <f t="shared" si="111"/>
        <v>2025</v>
      </c>
      <c r="Q881" s="11" t="str">
        <f>VLOOKUP($N881,'2 CODIFICATION'!$G$5:$L$71,3,FALSE)</f>
        <v>Produits financiers</v>
      </c>
      <c r="R881" s="53" t="str">
        <f>VLOOKUP($N881,'2 CODIFICATION'!$G$5:$L$71,4,FALSE)</f>
        <v>pdts</v>
      </c>
      <c r="S881" s="53">
        <f>VLOOKUP($N881,'2 CODIFICATION'!$G$5:$L$71,5,FALSE)</f>
        <v>76</v>
      </c>
      <c r="T881" s="11" t="str">
        <f>VLOOKUP($N881,'2 CODIFICATION'!$G$5:$L$71,6,FALSE)</f>
        <v>Produits exceptionnels</v>
      </c>
    </row>
    <row r="882" spans="1:20" s="78" customFormat="1">
      <c r="A882" s="78" t="s">
        <v>1004</v>
      </c>
      <c r="B882" s="427" t="s">
        <v>79</v>
      </c>
      <c r="D882" s="1047">
        <v>45808</v>
      </c>
      <c r="E882" s="1048" t="s">
        <v>606</v>
      </c>
      <c r="G882" s="1049"/>
      <c r="H882" s="1049">
        <v>65.989999999999995</v>
      </c>
      <c r="I882" s="471">
        <v>6632.9440000000004</v>
      </c>
      <c r="J882" s="1050" t="s">
        <v>273</v>
      </c>
      <c r="K882" s="22">
        <f t="shared" si="110"/>
        <v>6230</v>
      </c>
      <c r="L882" s="74" t="str">
        <f>VLOOKUP($J882,'2 CODIFICATION'!A$5:B$21,2,"FAUX")</f>
        <v>ADMINIST ET FONCT</v>
      </c>
      <c r="M882" s="74" t="str">
        <f>VLOOKUP($K882,'2 CODIFICATION'!D$8:E$64,2,"FAUX")</f>
        <v>communication</v>
      </c>
      <c r="N882" s="84">
        <v>623000</v>
      </c>
      <c r="O882" s="206">
        <f t="shared" si="107"/>
        <v>-65.989999999999995</v>
      </c>
      <c r="P882" s="84">
        <f t="shared" si="111"/>
        <v>2025</v>
      </c>
      <c r="Q882" s="11" t="str">
        <f>VLOOKUP($N882,'2 CODIFICATION'!$G$5:$L$71,3,FALSE)</f>
        <v>Publicité, publications, Création de site web</v>
      </c>
      <c r="R882" s="53" t="str">
        <f>VLOOKUP($N882,'2 CODIFICATION'!$G$5:$L$71,4,FALSE)</f>
        <v>chges</v>
      </c>
      <c r="S882" s="53">
        <f>VLOOKUP($N882,'2 CODIFICATION'!$G$5:$L$71,5,FALSE)</f>
        <v>62</v>
      </c>
      <c r="T882" s="11" t="str">
        <f>VLOOKUP($N882,'2 CODIFICATION'!$G$5:$L$71,6,FALSE)</f>
        <v>Autres services extérieurs</v>
      </c>
    </row>
    <row r="883" spans="1:20" s="78" customFormat="1">
      <c r="A883" s="78" t="s">
        <v>1004</v>
      </c>
      <c r="B883" s="427" t="s">
        <v>79</v>
      </c>
      <c r="D883" s="1047">
        <v>45813</v>
      </c>
      <c r="E883" s="1048" t="s">
        <v>605</v>
      </c>
      <c r="G883" s="1049"/>
      <c r="H883" s="1049">
        <v>73.09</v>
      </c>
      <c r="I883" s="471">
        <v>6559.8540000000003</v>
      </c>
      <c r="J883" s="1050" t="s">
        <v>273</v>
      </c>
      <c r="K883" s="22">
        <f t="shared" si="110"/>
        <v>6064</v>
      </c>
      <c r="L883" s="74" t="str">
        <f>VLOOKUP($J883,'2 CODIFICATION'!A$5:B$21,2,"FAUX")</f>
        <v>ADMINIST ET FONCT</v>
      </c>
      <c r="M883" s="74" t="str">
        <f>VLOOKUP($K883,'2 CODIFICATION'!D$8:E$64,2,"FAUX")</f>
        <v>Frais de fonctionnement et fourniture</v>
      </c>
      <c r="N883" s="84">
        <v>606400</v>
      </c>
      <c r="O883" s="206">
        <f t="shared" si="107"/>
        <v>-73.09</v>
      </c>
      <c r="P883" s="84">
        <f t="shared" si="111"/>
        <v>2025</v>
      </c>
      <c r="Q883" s="11" t="str">
        <f>VLOOKUP($N883,'2 CODIFICATION'!$G$5:$L$71,3,FALSE)</f>
        <v>Fournitures administratives</v>
      </c>
      <c r="R883" s="53" t="str">
        <f>VLOOKUP($N883,'2 CODIFICATION'!$G$5:$L$71,4,FALSE)</f>
        <v>chges</v>
      </c>
      <c r="S883" s="53">
        <f>VLOOKUP($N883,'2 CODIFICATION'!$G$5:$L$71,5,FALSE)</f>
        <v>60</v>
      </c>
      <c r="T883" s="11" t="str">
        <f>VLOOKUP($N883,'2 CODIFICATION'!$G$5:$L$71,6,FALSE)</f>
        <v>Achat</v>
      </c>
    </row>
    <row r="884" spans="1:20" s="78" customFormat="1">
      <c r="A884" s="78" t="s">
        <v>1004</v>
      </c>
      <c r="B884" s="427" t="s">
        <v>79</v>
      </c>
      <c r="D884" s="1047">
        <v>45821</v>
      </c>
      <c r="E884" s="1048" t="s">
        <v>615</v>
      </c>
      <c r="G884" s="1052">
        <v>100</v>
      </c>
      <c r="H884" s="1049"/>
      <c r="I884" s="471">
        <v>6659.8540000000003</v>
      </c>
      <c r="J884" s="1050" t="s">
        <v>273</v>
      </c>
      <c r="K884" s="22">
        <f t="shared" si="110"/>
        <v>7581</v>
      </c>
      <c r="L884" s="74" t="str">
        <f>VLOOKUP($J884,'2 CODIFICATION'!A$5:B$21,2,"FAUX")</f>
        <v>ADMINIST ET FONCT</v>
      </c>
      <c r="M884" s="74" t="str">
        <f>VLOOKUP($K884,'2 CODIFICATION'!D$8:E$64,2,"FAUX")</f>
        <v>Adhésions association</v>
      </c>
      <c r="N884" s="84">
        <v>758100</v>
      </c>
      <c r="O884" s="206">
        <f t="shared" si="107"/>
        <v>100</v>
      </c>
      <c r="P884" s="84">
        <f t="shared" si="111"/>
        <v>2025</v>
      </c>
      <c r="Q884" s="11" t="str">
        <f>VLOOKUP($N884,'2 CODIFICATION'!$G$5:$L$71,3,FALSE)</f>
        <v>Cotisations individuelles et associatives</v>
      </c>
      <c r="R884" s="53" t="str">
        <f>VLOOKUP($N884,'2 CODIFICATION'!$G$5:$L$71,4,FALSE)</f>
        <v>pdts</v>
      </c>
      <c r="S884" s="53">
        <f>VLOOKUP($N884,'2 CODIFICATION'!$G$5:$L$71,5,FALSE)</f>
        <v>75</v>
      </c>
      <c r="T884" s="11" t="str">
        <f>VLOOKUP($N884,'2 CODIFICATION'!$G$5:$L$71,6,FALSE)</f>
        <v>Autres produits de gestion courante</v>
      </c>
    </row>
    <row r="885" spans="1:20" s="78" customFormat="1">
      <c r="A885" s="78" t="s">
        <v>1004</v>
      </c>
      <c r="B885" s="427" t="s">
        <v>79</v>
      </c>
      <c r="D885" s="1047">
        <v>45824</v>
      </c>
      <c r="E885" s="1053" t="s">
        <v>620</v>
      </c>
      <c r="G885" s="1052">
        <v>30</v>
      </c>
      <c r="H885" s="1049"/>
      <c r="I885" s="471">
        <v>6689.8540000000003</v>
      </c>
      <c r="J885" s="1050" t="s">
        <v>273</v>
      </c>
      <c r="K885" s="22">
        <f t="shared" si="110"/>
        <v>7581</v>
      </c>
      <c r="L885" s="74" t="str">
        <f>VLOOKUP($J885,'2 CODIFICATION'!A$5:B$21,2,"FAUX")</f>
        <v>ADMINIST ET FONCT</v>
      </c>
      <c r="M885" s="74" t="str">
        <f>VLOOKUP($K885,'2 CODIFICATION'!D$8:E$64,2,"FAUX")</f>
        <v>Adhésions association</v>
      </c>
      <c r="N885" s="84">
        <v>758100</v>
      </c>
      <c r="O885" s="206">
        <f t="shared" si="107"/>
        <v>30</v>
      </c>
      <c r="P885" s="84">
        <f t="shared" si="111"/>
        <v>2025</v>
      </c>
      <c r="Q885" s="11" t="str">
        <f>VLOOKUP($N885,'2 CODIFICATION'!$G$5:$L$71,3,FALSE)</f>
        <v>Cotisations individuelles et associatives</v>
      </c>
      <c r="R885" s="53" t="str">
        <f>VLOOKUP($N885,'2 CODIFICATION'!$G$5:$L$71,4,FALSE)</f>
        <v>pdts</v>
      </c>
      <c r="S885" s="53">
        <f>VLOOKUP($N885,'2 CODIFICATION'!$G$5:$L$71,5,FALSE)</f>
        <v>75</v>
      </c>
      <c r="T885" s="11" t="str">
        <f>VLOOKUP($N885,'2 CODIFICATION'!$G$5:$L$71,6,FALSE)</f>
        <v>Autres produits de gestion courante</v>
      </c>
    </row>
    <row r="886" spans="1:20" s="78" customFormat="1">
      <c r="A886" s="78" t="s">
        <v>1004</v>
      </c>
      <c r="B886" s="427" t="s">
        <v>79</v>
      </c>
      <c r="D886" s="1047">
        <v>45824</v>
      </c>
      <c r="E886" s="1053" t="s">
        <v>621</v>
      </c>
      <c r="G886" s="1052">
        <v>10</v>
      </c>
      <c r="H886" s="1049"/>
      <c r="I886" s="471">
        <v>6699.8540000000003</v>
      </c>
      <c r="J886" s="1050" t="s">
        <v>273</v>
      </c>
      <c r="K886" s="22">
        <f t="shared" si="110"/>
        <v>7581</v>
      </c>
      <c r="L886" s="74" t="str">
        <f>VLOOKUP($J886,'2 CODIFICATION'!A$5:B$21,2,"FAUX")</f>
        <v>ADMINIST ET FONCT</v>
      </c>
      <c r="M886" s="74" t="str">
        <f>VLOOKUP($K886,'2 CODIFICATION'!D$8:E$64,2,"FAUX")</f>
        <v>Adhésions association</v>
      </c>
      <c r="N886" s="84">
        <v>758100</v>
      </c>
      <c r="O886" s="206">
        <f t="shared" si="107"/>
        <v>10</v>
      </c>
      <c r="P886" s="84">
        <f t="shared" si="111"/>
        <v>2025</v>
      </c>
      <c r="Q886" s="11" t="str">
        <f>VLOOKUP($N886,'2 CODIFICATION'!$G$5:$L$71,3,FALSE)</f>
        <v>Cotisations individuelles et associatives</v>
      </c>
      <c r="R886" s="53" t="str">
        <f>VLOOKUP($N886,'2 CODIFICATION'!$G$5:$L$71,4,FALSE)</f>
        <v>pdts</v>
      </c>
      <c r="S886" s="53">
        <f>VLOOKUP($N886,'2 CODIFICATION'!$G$5:$L$71,5,FALSE)</f>
        <v>75</v>
      </c>
      <c r="T886" s="11" t="str">
        <f>VLOOKUP($N886,'2 CODIFICATION'!$G$5:$L$71,6,FALSE)</f>
        <v>Autres produits de gestion courante</v>
      </c>
    </row>
    <row r="887" spans="1:20" s="78" customFormat="1">
      <c r="A887" s="78" t="s">
        <v>1004</v>
      </c>
      <c r="B887" s="427" t="s">
        <v>79</v>
      </c>
      <c r="D887" s="1047">
        <v>45841</v>
      </c>
      <c r="E887" s="1048" t="s">
        <v>622</v>
      </c>
      <c r="G887" s="1052">
        <v>20</v>
      </c>
      <c r="H887" s="1049"/>
      <c r="I887" s="471">
        <v>6719.8540000000003</v>
      </c>
      <c r="J887" s="1050" t="s">
        <v>273</v>
      </c>
      <c r="K887" s="22">
        <f t="shared" si="110"/>
        <v>7581</v>
      </c>
      <c r="L887" s="74" t="str">
        <f>VLOOKUP($J887,'2 CODIFICATION'!A$5:B$21,2,"FAUX")</f>
        <v>ADMINIST ET FONCT</v>
      </c>
      <c r="M887" s="74" t="str">
        <f>VLOOKUP($K887,'2 CODIFICATION'!D$8:E$64,2,"FAUX")</f>
        <v>Adhésions association</v>
      </c>
      <c r="N887" s="84">
        <v>758100</v>
      </c>
      <c r="O887" s="206">
        <f t="shared" si="107"/>
        <v>20</v>
      </c>
      <c r="P887" s="84">
        <f t="shared" si="111"/>
        <v>2025</v>
      </c>
      <c r="Q887" s="11" t="str">
        <f>VLOOKUP($N887,'2 CODIFICATION'!$G$5:$L$71,3,FALSE)</f>
        <v>Cotisations individuelles et associatives</v>
      </c>
      <c r="R887" s="53" t="str">
        <f>VLOOKUP($N887,'2 CODIFICATION'!$G$5:$L$71,4,FALSE)</f>
        <v>pdts</v>
      </c>
      <c r="S887" s="53">
        <f>VLOOKUP($N887,'2 CODIFICATION'!$G$5:$L$71,5,FALSE)</f>
        <v>75</v>
      </c>
      <c r="T887" s="11" t="str">
        <f>VLOOKUP($N887,'2 CODIFICATION'!$G$5:$L$71,6,FALSE)</f>
        <v>Autres produits de gestion courante</v>
      </c>
    </row>
    <row r="888" spans="1:20" s="78" customFormat="1">
      <c r="A888" s="78" t="s">
        <v>1004</v>
      </c>
      <c r="B888" s="427" t="s">
        <v>79</v>
      </c>
      <c r="D888" s="1047">
        <v>45845</v>
      </c>
      <c r="E888" s="1048" t="s">
        <v>607</v>
      </c>
      <c r="G888" s="1049"/>
      <c r="H888" s="1049">
        <v>13.92</v>
      </c>
      <c r="I888" s="471">
        <v>6705.9340000000002</v>
      </c>
      <c r="J888" s="1050" t="s">
        <v>273</v>
      </c>
      <c r="K888" s="22">
        <f t="shared" si="110"/>
        <v>6261</v>
      </c>
      <c r="L888" s="74" t="str">
        <f>VLOOKUP($J888,'2 CODIFICATION'!A$5:B$21,2,"FAUX")</f>
        <v>ADMINIST ET FONCT</v>
      </c>
      <c r="M888" s="74" t="str">
        <f>VLOOKUP($K888,'2 CODIFICATION'!D$8:E$64,2,"FAUX")</f>
        <v>Frais d'envoi</v>
      </c>
      <c r="N888" s="84">
        <v>626100</v>
      </c>
      <c r="O888" s="206">
        <f t="shared" si="107"/>
        <v>-13.92</v>
      </c>
      <c r="P888" s="84">
        <f t="shared" si="111"/>
        <v>2025</v>
      </c>
      <c r="Q888" s="11" t="str">
        <f>VLOOKUP($N888,'2 CODIFICATION'!$G$5:$L$71,3,FALSE)</f>
        <v>Frais postaux</v>
      </c>
      <c r="R888" s="53" t="str">
        <f>VLOOKUP($N888,'2 CODIFICATION'!$G$5:$L$71,4,FALSE)</f>
        <v>chges</v>
      </c>
      <c r="S888" s="53">
        <f>VLOOKUP($N888,'2 CODIFICATION'!$G$5:$L$71,5,FALSE)</f>
        <v>62</v>
      </c>
      <c r="T888" s="11" t="str">
        <f>VLOOKUP($N888,'2 CODIFICATION'!$G$5:$L$71,6,FALSE)</f>
        <v>Autres services extérieurs</v>
      </c>
    </row>
    <row r="889" spans="1:20" s="78" customFormat="1">
      <c r="A889" s="78" t="s">
        <v>1004</v>
      </c>
      <c r="B889" s="427" t="s">
        <v>79</v>
      </c>
      <c r="D889" s="1047">
        <v>45845</v>
      </c>
      <c r="E889" s="1048" t="s">
        <v>608</v>
      </c>
      <c r="G889" s="1049"/>
      <c r="H889" s="1049">
        <v>70.41</v>
      </c>
      <c r="I889" s="471">
        <v>6635.5240000000003</v>
      </c>
      <c r="J889" s="1050" t="s">
        <v>273</v>
      </c>
      <c r="K889" s="22">
        <f t="shared" si="110"/>
        <v>6230</v>
      </c>
      <c r="L889" s="74" t="str">
        <f>VLOOKUP($J889,'2 CODIFICATION'!A$5:B$21,2,"FAUX")</f>
        <v>ADMINIST ET FONCT</v>
      </c>
      <c r="M889" s="74" t="str">
        <f>VLOOKUP($K889,'2 CODIFICATION'!D$8:E$64,2,"FAUX")</f>
        <v>communication</v>
      </c>
      <c r="N889" s="84">
        <v>623000</v>
      </c>
      <c r="O889" s="206">
        <f t="shared" si="107"/>
        <v>-70.41</v>
      </c>
      <c r="P889" s="84">
        <f t="shared" si="111"/>
        <v>2025</v>
      </c>
      <c r="Q889" s="11" t="str">
        <f>VLOOKUP($N889,'2 CODIFICATION'!$G$5:$L$71,3,FALSE)</f>
        <v>Publicité, publications, Création de site web</v>
      </c>
      <c r="R889" s="53" t="str">
        <f>VLOOKUP($N889,'2 CODIFICATION'!$G$5:$L$71,4,FALSE)</f>
        <v>chges</v>
      </c>
      <c r="S889" s="53">
        <f>VLOOKUP($N889,'2 CODIFICATION'!$G$5:$L$71,5,FALSE)</f>
        <v>62</v>
      </c>
      <c r="T889" s="11" t="str">
        <f>VLOOKUP($N889,'2 CODIFICATION'!$G$5:$L$71,6,FALSE)</f>
        <v>Autres services extérieurs</v>
      </c>
    </row>
    <row r="890" spans="1:20" s="78" customFormat="1">
      <c r="A890" s="78" t="s">
        <v>1004</v>
      </c>
      <c r="B890" s="427" t="s">
        <v>79</v>
      </c>
      <c r="D890" s="1047">
        <v>45845</v>
      </c>
      <c r="E890" s="1053" t="s">
        <v>613</v>
      </c>
      <c r="G890" s="1052">
        <v>100</v>
      </c>
      <c r="H890" s="1049"/>
      <c r="I890" s="471">
        <v>6735.5240000000003</v>
      </c>
      <c r="J890" s="1050" t="s">
        <v>273</v>
      </c>
      <c r="K890" s="22">
        <f t="shared" si="110"/>
        <v>7581</v>
      </c>
      <c r="L890" s="74" t="str">
        <f>VLOOKUP($J890,'2 CODIFICATION'!A$5:B$21,2,"FAUX")</f>
        <v>ADMINIST ET FONCT</v>
      </c>
      <c r="M890" s="74" t="str">
        <f>VLOOKUP($K890,'2 CODIFICATION'!D$8:E$64,2,"FAUX")</f>
        <v>Adhésions association</v>
      </c>
      <c r="N890" s="84">
        <v>758100</v>
      </c>
      <c r="O890" s="206">
        <f t="shared" si="107"/>
        <v>100</v>
      </c>
      <c r="P890" s="84">
        <f t="shared" si="111"/>
        <v>2025</v>
      </c>
      <c r="Q890" s="11" t="str">
        <f>VLOOKUP($N890,'2 CODIFICATION'!$G$5:$L$71,3,FALSE)</f>
        <v>Cotisations individuelles et associatives</v>
      </c>
      <c r="R890" s="53" t="str">
        <f>VLOOKUP($N890,'2 CODIFICATION'!$G$5:$L$71,4,FALSE)</f>
        <v>pdts</v>
      </c>
      <c r="S890" s="53">
        <f>VLOOKUP($N890,'2 CODIFICATION'!$G$5:$L$71,5,FALSE)</f>
        <v>75</v>
      </c>
      <c r="T890" s="11" t="str">
        <f>VLOOKUP($N890,'2 CODIFICATION'!$G$5:$L$71,6,FALSE)</f>
        <v>Autres produits de gestion courante</v>
      </c>
    </row>
    <row r="891" spans="1:20" s="78" customFormat="1">
      <c r="A891" s="78" t="s">
        <v>1004</v>
      </c>
      <c r="B891" s="427" t="s">
        <v>79</v>
      </c>
      <c r="D891" s="1047">
        <v>45845</v>
      </c>
      <c r="E891" s="1053" t="s">
        <v>614</v>
      </c>
      <c r="G891" s="1052">
        <v>1200</v>
      </c>
      <c r="H891" s="1049"/>
      <c r="I891" s="471">
        <v>7935.5240000000003</v>
      </c>
      <c r="J891" s="1050" t="s">
        <v>273</v>
      </c>
      <c r="K891" s="22">
        <f t="shared" si="110"/>
        <v>7771</v>
      </c>
      <c r="L891" s="74" t="str">
        <f>VLOOKUP($J891,'2 CODIFICATION'!A$5:B$21,2,"FAUX")</f>
        <v>ADMINIST ET FONCT</v>
      </c>
      <c r="M891" s="74" t="str">
        <f>VLOOKUP($K891,'2 CODIFICATION'!D$8:E$64,2,"FAUX")</f>
        <v>Dons et participations à l"association</v>
      </c>
      <c r="N891" s="84">
        <v>777100</v>
      </c>
      <c r="O891" s="206">
        <f t="shared" si="107"/>
        <v>1200</v>
      </c>
      <c r="P891" s="84">
        <f t="shared" si="111"/>
        <v>2025</v>
      </c>
      <c r="Q891" s="11" t="str">
        <f>VLOOKUP($N891,'2 CODIFICATION'!$G$5:$L$71,3,FALSE)</f>
        <v>Dons et autres mises à dispositions gratuites</v>
      </c>
      <c r="R891" s="53" t="str">
        <f>VLOOKUP($N891,'2 CODIFICATION'!$G$5:$L$71,4,FALSE)</f>
        <v>pdts</v>
      </c>
      <c r="S891" s="53">
        <f>VLOOKUP($N891,'2 CODIFICATION'!$G$5:$L$71,5,FALSE)</f>
        <v>77</v>
      </c>
      <c r="T891" s="11" t="str">
        <f>VLOOKUP($N891,'2 CODIFICATION'!$G$5:$L$71,6,FALSE)</f>
        <v>Produits exceptionnels</v>
      </c>
    </row>
    <row r="892" spans="1:20" s="78" customFormat="1">
      <c r="A892" s="78" t="s">
        <v>1004</v>
      </c>
      <c r="B892" s="427" t="s">
        <v>79</v>
      </c>
      <c r="D892" s="1047">
        <v>45855</v>
      </c>
      <c r="E892" s="1048" t="s">
        <v>594</v>
      </c>
      <c r="G892" s="1049">
        <v>50</v>
      </c>
      <c r="H892" s="1049"/>
      <c r="I892" s="471">
        <v>7985.5240000000003</v>
      </c>
      <c r="J892" s="1050" t="s">
        <v>273</v>
      </c>
      <c r="K892" s="22">
        <f t="shared" si="110"/>
        <v>7581</v>
      </c>
      <c r="L892" s="74" t="str">
        <f>VLOOKUP($J892,'2 CODIFICATION'!A$5:B$21,2,"FAUX")</f>
        <v>ADMINIST ET FONCT</v>
      </c>
      <c r="M892" s="74" t="str">
        <f>VLOOKUP($K892,'2 CODIFICATION'!D$8:E$64,2,"FAUX")</f>
        <v>Adhésions association</v>
      </c>
      <c r="N892" s="84">
        <v>758100</v>
      </c>
      <c r="O892" s="206">
        <f t="shared" si="107"/>
        <v>50</v>
      </c>
      <c r="P892" s="84">
        <f t="shared" si="111"/>
        <v>2025</v>
      </c>
      <c r="Q892" s="11" t="str">
        <f>VLOOKUP($N892,'2 CODIFICATION'!$G$5:$L$71,3,FALSE)</f>
        <v>Cotisations individuelles et associatives</v>
      </c>
      <c r="R892" s="53" t="str">
        <f>VLOOKUP($N892,'2 CODIFICATION'!$G$5:$L$71,4,FALSE)</f>
        <v>pdts</v>
      </c>
      <c r="S892" s="53">
        <f>VLOOKUP($N892,'2 CODIFICATION'!$G$5:$L$71,5,FALSE)</f>
        <v>75</v>
      </c>
      <c r="T892" s="11" t="str">
        <f>VLOOKUP($N892,'2 CODIFICATION'!$G$5:$L$71,6,FALSE)</f>
        <v>Autres produits de gestion courante</v>
      </c>
    </row>
    <row r="893" spans="1:20" s="78" customFormat="1">
      <c r="A893" s="78" t="s">
        <v>1004</v>
      </c>
      <c r="B893" s="427" t="s">
        <v>79</v>
      </c>
      <c r="D893" s="1047">
        <v>45870</v>
      </c>
      <c r="E893" s="1048" t="s">
        <v>595</v>
      </c>
      <c r="G893" s="1052">
        <v>30</v>
      </c>
      <c r="H893" s="1049"/>
      <c r="I893" s="471">
        <v>8015.5240000000003</v>
      </c>
      <c r="J893" s="1050" t="s">
        <v>273</v>
      </c>
      <c r="K893" s="22">
        <f t="shared" si="110"/>
        <v>7581</v>
      </c>
      <c r="L893" s="74" t="str">
        <f>VLOOKUP($J893,'2 CODIFICATION'!A$5:B$21,2,"FAUX")</f>
        <v>ADMINIST ET FONCT</v>
      </c>
      <c r="M893" s="74" t="str">
        <f>VLOOKUP($K893,'2 CODIFICATION'!D$8:E$64,2,"FAUX")</f>
        <v>Adhésions association</v>
      </c>
      <c r="N893" s="84">
        <v>758100</v>
      </c>
      <c r="O893" s="206">
        <f t="shared" si="107"/>
        <v>30</v>
      </c>
      <c r="P893" s="84">
        <f t="shared" si="111"/>
        <v>2025</v>
      </c>
      <c r="Q893" s="11" t="str">
        <f>VLOOKUP($N893,'2 CODIFICATION'!$G$5:$L$71,3,FALSE)</f>
        <v>Cotisations individuelles et associatives</v>
      </c>
      <c r="R893" s="53" t="str">
        <f>VLOOKUP($N893,'2 CODIFICATION'!$G$5:$L$71,4,FALSE)</f>
        <v>pdts</v>
      </c>
      <c r="S893" s="53">
        <f>VLOOKUP($N893,'2 CODIFICATION'!$G$5:$L$71,5,FALSE)</f>
        <v>75</v>
      </c>
      <c r="T893" s="11" t="str">
        <f>VLOOKUP($N893,'2 CODIFICATION'!$G$5:$L$71,6,FALSE)</f>
        <v>Autres produits de gestion courante</v>
      </c>
    </row>
    <row r="894" spans="1:20" s="78" customFormat="1">
      <c r="A894" s="78" t="s">
        <v>1004</v>
      </c>
      <c r="B894" s="427" t="s">
        <v>79</v>
      </c>
      <c r="D894" s="1047">
        <v>45899</v>
      </c>
      <c r="E894" s="1048" t="s">
        <v>612</v>
      </c>
      <c r="G894" s="1052">
        <v>50</v>
      </c>
      <c r="H894" s="1049"/>
      <c r="I894" s="471">
        <v>8065.5240000000003</v>
      </c>
      <c r="J894" s="1050" t="s">
        <v>273</v>
      </c>
      <c r="K894" s="22">
        <f t="shared" si="110"/>
        <v>7581</v>
      </c>
      <c r="L894" s="74" t="str">
        <f>VLOOKUP($J894,'2 CODIFICATION'!A$5:B$21,2,"FAUX")</f>
        <v>ADMINIST ET FONCT</v>
      </c>
      <c r="M894" s="74" t="str">
        <f>VLOOKUP($K894,'2 CODIFICATION'!D$8:E$64,2,"FAUX")</f>
        <v>Adhésions association</v>
      </c>
      <c r="N894" s="84">
        <v>758100</v>
      </c>
      <c r="O894" s="206">
        <f t="shared" si="107"/>
        <v>50</v>
      </c>
      <c r="P894" s="84">
        <f t="shared" si="111"/>
        <v>2025</v>
      </c>
      <c r="Q894" s="11" t="str">
        <f>VLOOKUP($N894,'2 CODIFICATION'!$G$5:$L$71,3,FALSE)</f>
        <v>Cotisations individuelles et associatives</v>
      </c>
      <c r="R894" s="53" t="str">
        <f>VLOOKUP($N894,'2 CODIFICATION'!$G$5:$L$71,4,FALSE)</f>
        <v>pdts</v>
      </c>
      <c r="S894" s="53">
        <f>VLOOKUP($N894,'2 CODIFICATION'!$G$5:$L$71,5,FALSE)</f>
        <v>75</v>
      </c>
      <c r="T894" s="11" t="str">
        <f>VLOOKUP($N894,'2 CODIFICATION'!$G$5:$L$71,6,FALSE)</f>
        <v>Autres produits de gestion courante</v>
      </c>
    </row>
    <row r="895" spans="1:20" s="78" customFormat="1">
      <c r="A895" s="78" t="s">
        <v>1004</v>
      </c>
      <c r="B895" s="427" t="s">
        <v>79</v>
      </c>
      <c r="D895" s="1047">
        <v>45902</v>
      </c>
      <c r="E895" s="1048" t="s">
        <v>611</v>
      </c>
      <c r="G895" s="1052">
        <v>60</v>
      </c>
      <c r="H895" s="1049"/>
      <c r="I895" s="471">
        <v>8125.5240000000003</v>
      </c>
      <c r="J895" s="1050" t="s">
        <v>273</v>
      </c>
      <c r="K895" s="22">
        <f t="shared" si="110"/>
        <v>7581</v>
      </c>
      <c r="L895" s="74" t="str">
        <f>VLOOKUP($J895,'2 CODIFICATION'!A$5:B$21,2,"FAUX")</f>
        <v>ADMINIST ET FONCT</v>
      </c>
      <c r="M895" s="74" t="str">
        <f>VLOOKUP($K895,'2 CODIFICATION'!D$8:E$64,2,"FAUX")</f>
        <v>Adhésions association</v>
      </c>
      <c r="N895" s="84">
        <v>758100</v>
      </c>
      <c r="O895" s="206">
        <f t="shared" si="107"/>
        <v>60</v>
      </c>
      <c r="P895" s="84">
        <f t="shared" si="111"/>
        <v>2025</v>
      </c>
      <c r="Q895" s="11" t="str">
        <f>VLOOKUP($N895,'2 CODIFICATION'!$G$5:$L$71,3,FALSE)</f>
        <v>Cotisations individuelles et associatives</v>
      </c>
      <c r="R895" s="53" t="str">
        <f>VLOOKUP($N895,'2 CODIFICATION'!$G$5:$L$71,4,FALSE)</f>
        <v>pdts</v>
      </c>
      <c r="S895" s="53">
        <f>VLOOKUP($N895,'2 CODIFICATION'!$G$5:$L$71,5,FALSE)</f>
        <v>75</v>
      </c>
      <c r="T895" s="11" t="str">
        <f>VLOOKUP($N895,'2 CODIFICATION'!$G$5:$L$71,6,FALSE)</f>
        <v>Autres produits de gestion courante</v>
      </c>
    </row>
    <row r="896" spans="1:20" s="78" customFormat="1">
      <c r="A896" s="78" t="s">
        <v>1004</v>
      </c>
      <c r="B896" s="427" t="s">
        <v>79</v>
      </c>
      <c r="D896" s="1047">
        <v>45907</v>
      </c>
      <c r="E896" s="1048" t="s">
        <v>599</v>
      </c>
      <c r="G896" s="1054"/>
      <c r="H896" s="1054">
        <v>127.71</v>
      </c>
      <c r="I896" s="471">
        <v>7997.8140000000003</v>
      </c>
      <c r="J896" s="1050" t="s">
        <v>273</v>
      </c>
      <c r="K896" s="22">
        <f t="shared" si="110"/>
        <v>6230</v>
      </c>
      <c r="L896" s="74" t="str">
        <f>VLOOKUP($J896,'2 CODIFICATION'!A$5:B$21,2,"FAUX")</f>
        <v>ADMINIST ET FONCT</v>
      </c>
      <c r="M896" s="74" t="str">
        <f>VLOOKUP($K896,'2 CODIFICATION'!D$8:E$64,2,"FAUX")</f>
        <v>communication</v>
      </c>
      <c r="N896" s="84">
        <v>623000</v>
      </c>
      <c r="O896" s="206">
        <f t="shared" si="107"/>
        <v>-127.71</v>
      </c>
      <c r="P896" s="84">
        <f t="shared" si="111"/>
        <v>2025</v>
      </c>
      <c r="Q896" s="11" t="str">
        <f>VLOOKUP($N896,'2 CODIFICATION'!$G$5:$L$71,3,FALSE)</f>
        <v>Publicité, publications, Création de site web</v>
      </c>
      <c r="R896" s="53" t="str">
        <f>VLOOKUP($N896,'2 CODIFICATION'!$G$5:$L$71,4,FALSE)</f>
        <v>chges</v>
      </c>
      <c r="S896" s="53">
        <f>VLOOKUP($N896,'2 CODIFICATION'!$G$5:$L$71,5,FALSE)</f>
        <v>62</v>
      </c>
      <c r="T896" s="11" t="str">
        <f>VLOOKUP($N896,'2 CODIFICATION'!$G$5:$L$71,6,FALSE)</f>
        <v>Autres services extérieurs</v>
      </c>
    </row>
    <row r="897" spans="1:20" s="78" customFormat="1">
      <c r="A897" s="78" t="s">
        <v>1004</v>
      </c>
      <c r="B897" s="427" t="s">
        <v>79</v>
      </c>
      <c r="D897" s="1047">
        <v>45907</v>
      </c>
      <c r="E897" s="1048" t="s">
        <v>599</v>
      </c>
      <c r="G897" s="1054">
        <v>467.2</v>
      </c>
      <c r="H897" s="1054"/>
      <c r="I897" s="471">
        <v>8465.014000000001</v>
      </c>
      <c r="J897" s="1050" t="s">
        <v>273</v>
      </c>
      <c r="K897" s="22">
        <f t="shared" si="110"/>
        <v>6230</v>
      </c>
      <c r="L897" s="74" t="str">
        <f>VLOOKUP($J897,'2 CODIFICATION'!A$5:B$21,2,"FAUX")</f>
        <v>ADMINIST ET FONCT</v>
      </c>
      <c r="M897" s="74" t="str">
        <f>VLOOKUP($K897,'2 CODIFICATION'!D$8:E$64,2,"FAUX")</f>
        <v>communication</v>
      </c>
      <c r="N897" s="84">
        <v>623000</v>
      </c>
      <c r="O897" s="206">
        <f t="shared" si="107"/>
        <v>467.2</v>
      </c>
      <c r="P897" s="84">
        <f t="shared" si="111"/>
        <v>2025</v>
      </c>
      <c r="Q897" s="11" t="str">
        <f>VLOOKUP($N897,'2 CODIFICATION'!$G$5:$L$71,3,FALSE)</f>
        <v>Publicité, publications, Création de site web</v>
      </c>
      <c r="R897" s="53" t="str">
        <f>VLOOKUP($N897,'2 CODIFICATION'!$G$5:$L$71,4,FALSE)</f>
        <v>chges</v>
      </c>
      <c r="S897" s="53">
        <f>VLOOKUP($N897,'2 CODIFICATION'!$G$5:$L$71,5,FALSE)</f>
        <v>62</v>
      </c>
      <c r="T897" s="11" t="str">
        <f>VLOOKUP($N897,'2 CODIFICATION'!$G$5:$L$71,6,FALSE)</f>
        <v>Autres services extérieurs</v>
      </c>
    </row>
    <row r="898" spans="1:20" s="78" customFormat="1">
      <c r="A898" s="78" t="s">
        <v>1004</v>
      </c>
      <c r="B898" s="427" t="s">
        <v>79</v>
      </c>
      <c r="D898" s="1047">
        <v>45932</v>
      </c>
      <c r="E898" s="1048" t="s">
        <v>624</v>
      </c>
      <c r="G898" s="1052">
        <v>10</v>
      </c>
      <c r="H898" s="1049"/>
      <c r="I898" s="471">
        <v>8475.014000000001</v>
      </c>
      <c r="J898" s="1050" t="s">
        <v>273</v>
      </c>
      <c r="K898" s="22">
        <f t="shared" si="110"/>
        <v>7581</v>
      </c>
      <c r="L898" s="74" t="str">
        <f>VLOOKUP($J898,'2 CODIFICATION'!A$5:B$21,2,"FAUX")</f>
        <v>ADMINIST ET FONCT</v>
      </c>
      <c r="M898" s="74" t="str">
        <f>VLOOKUP($K898,'2 CODIFICATION'!D$8:E$64,2,"FAUX")</f>
        <v>Adhésions association</v>
      </c>
      <c r="N898" s="84">
        <v>758100</v>
      </c>
      <c r="O898" s="206">
        <f t="shared" si="107"/>
        <v>10</v>
      </c>
      <c r="P898" s="84">
        <f t="shared" si="111"/>
        <v>2025</v>
      </c>
      <c r="Q898" s="11" t="str">
        <f>VLOOKUP($N898,'2 CODIFICATION'!$G$5:$L$71,3,FALSE)</f>
        <v>Cotisations individuelles et associatives</v>
      </c>
      <c r="R898" s="53" t="str">
        <f>VLOOKUP($N898,'2 CODIFICATION'!$G$5:$L$71,4,FALSE)</f>
        <v>pdts</v>
      </c>
      <c r="S898" s="53">
        <f>VLOOKUP($N898,'2 CODIFICATION'!$G$5:$L$71,5,FALSE)</f>
        <v>75</v>
      </c>
      <c r="T898" s="11" t="str">
        <f>VLOOKUP($N898,'2 CODIFICATION'!$G$5:$L$71,6,FALSE)</f>
        <v>Autres produits de gestion courante</v>
      </c>
    </row>
    <row r="899" spans="1:20" s="78" customFormat="1">
      <c r="A899" s="78" t="s">
        <v>1004</v>
      </c>
      <c r="B899" s="427" t="s">
        <v>79</v>
      </c>
      <c r="D899" s="1047">
        <v>45932</v>
      </c>
      <c r="E899" s="1048" t="s">
        <v>629</v>
      </c>
      <c r="G899" s="1052">
        <v>50</v>
      </c>
      <c r="H899" s="1049"/>
      <c r="I899" s="471">
        <v>8525.014000000001</v>
      </c>
      <c r="J899" s="1050" t="s">
        <v>273</v>
      </c>
      <c r="K899" s="22">
        <f t="shared" si="110"/>
        <v>7581</v>
      </c>
      <c r="L899" s="74" t="str">
        <f>VLOOKUP($J899,'2 CODIFICATION'!A$5:B$21,2,"FAUX")</f>
        <v>ADMINIST ET FONCT</v>
      </c>
      <c r="M899" s="74" t="str">
        <f>VLOOKUP($K899,'2 CODIFICATION'!D$8:E$64,2,"FAUX")</f>
        <v>Adhésions association</v>
      </c>
      <c r="N899" s="84">
        <v>758100</v>
      </c>
      <c r="O899" s="206">
        <f t="shared" si="107"/>
        <v>50</v>
      </c>
      <c r="P899" s="84">
        <f t="shared" si="111"/>
        <v>2025</v>
      </c>
      <c r="Q899" s="11" t="str">
        <f>VLOOKUP($N899,'2 CODIFICATION'!$G$5:$L$71,3,FALSE)</f>
        <v>Cotisations individuelles et associatives</v>
      </c>
      <c r="R899" s="53" t="str">
        <f>VLOOKUP($N899,'2 CODIFICATION'!$G$5:$L$71,4,FALSE)</f>
        <v>pdts</v>
      </c>
      <c r="S899" s="53">
        <f>VLOOKUP($N899,'2 CODIFICATION'!$G$5:$L$71,5,FALSE)</f>
        <v>75</v>
      </c>
      <c r="T899" s="11" t="str">
        <f>VLOOKUP($N899,'2 CODIFICATION'!$G$5:$L$71,6,FALSE)</f>
        <v>Autres produits de gestion courante</v>
      </c>
    </row>
    <row r="900" spans="1:20" s="78" customFormat="1">
      <c r="A900" s="78" t="s">
        <v>1004</v>
      </c>
      <c r="B900" s="427" t="s">
        <v>79</v>
      </c>
      <c r="D900" s="1047">
        <v>45992</v>
      </c>
      <c r="E900" s="1048" t="s">
        <v>729</v>
      </c>
      <c r="G900" s="1049">
        <v>20</v>
      </c>
      <c r="H900" s="1049"/>
      <c r="I900" s="471">
        <v>8545.014000000001</v>
      </c>
      <c r="J900" s="1050" t="s">
        <v>273</v>
      </c>
      <c r="K900" s="22">
        <f t="shared" si="110"/>
        <v>7581</v>
      </c>
      <c r="L900" s="74" t="str">
        <f>VLOOKUP($J900,'2 CODIFICATION'!A$5:B$21,2,"FAUX")</f>
        <v>ADMINIST ET FONCT</v>
      </c>
      <c r="M900" s="74" t="str">
        <f>VLOOKUP($K900,'2 CODIFICATION'!D$8:E$64,2,"FAUX")</f>
        <v>Adhésions association</v>
      </c>
      <c r="N900" s="84">
        <v>758100</v>
      </c>
      <c r="O900" s="206">
        <f t="shared" si="107"/>
        <v>20</v>
      </c>
      <c r="P900" s="84">
        <f t="shared" si="111"/>
        <v>2025</v>
      </c>
      <c r="Q900" s="11" t="str">
        <f>VLOOKUP($N900,'2 CODIFICATION'!$G$5:$L$71,3,FALSE)</f>
        <v>Cotisations individuelles et associatives</v>
      </c>
      <c r="R900" s="53" t="str">
        <f>VLOOKUP($N900,'2 CODIFICATION'!$G$5:$L$71,4,FALSE)</f>
        <v>pdts</v>
      </c>
      <c r="S900" s="53">
        <f>VLOOKUP($N900,'2 CODIFICATION'!$G$5:$L$71,5,FALSE)</f>
        <v>75</v>
      </c>
      <c r="T900" s="11" t="str">
        <f>VLOOKUP($N900,'2 CODIFICATION'!$G$5:$L$71,6,FALSE)</f>
        <v>Autres produits de gestion courante</v>
      </c>
    </row>
    <row r="901" spans="1:20" s="78" customFormat="1">
      <c r="A901" s="78" t="s">
        <v>1004</v>
      </c>
      <c r="B901" s="427" t="s">
        <v>79</v>
      </c>
      <c r="D901" s="1047">
        <v>45975</v>
      </c>
      <c r="E901" s="1048" t="s">
        <v>728</v>
      </c>
      <c r="G901" s="1049"/>
      <c r="H901" s="1049">
        <v>123.98</v>
      </c>
      <c r="I901" s="471">
        <v>8421.0340000000015</v>
      </c>
      <c r="J901" s="1050" t="s">
        <v>273</v>
      </c>
      <c r="K901" s="22">
        <f t="shared" si="110"/>
        <v>6230</v>
      </c>
      <c r="L901" s="74" t="str">
        <f>VLOOKUP($J901,'2 CODIFICATION'!A$5:B$21,2,"FAUX")</f>
        <v>ADMINIST ET FONCT</v>
      </c>
      <c r="M901" s="74" t="str">
        <f>VLOOKUP($K901,'2 CODIFICATION'!D$8:E$64,2,"FAUX")</f>
        <v>communication</v>
      </c>
      <c r="N901" s="84">
        <v>623000</v>
      </c>
      <c r="O901" s="206">
        <f t="shared" si="107"/>
        <v>-123.98</v>
      </c>
      <c r="P901" s="84">
        <f t="shared" si="111"/>
        <v>2025</v>
      </c>
      <c r="Q901" s="11" t="str">
        <f>VLOOKUP($N901,'2 CODIFICATION'!$G$5:$L$71,3,FALSE)</f>
        <v>Publicité, publications, Création de site web</v>
      </c>
      <c r="R901" s="53" t="str">
        <f>VLOOKUP($N901,'2 CODIFICATION'!$G$5:$L$71,4,FALSE)</f>
        <v>chges</v>
      </c>
      <c r="S901" s="53">
        <f>VLOOKUP($N901,'2 CODIFICATION'!$G$5:$L$71,5,FALSE)</f>
        <v>62</v>
      </c>
      <c r="T901" s="11" t="str">
        <f>VLOOKUP($N901,'2 CODIFICATION'!$G$5:$L$71,6,FALSE)</f>
        <v>Autres services extérieurs</v>
      </c>
    </row>
    <row r="902" spans="1:20" s="78" customFormat="1">
      <c r="A902" s="78" t="s">
        <v>1004</v>
      </c>
      <c r="B902" s="427" t="s">
        <v>79</v>
      </c>
      <c r="D902" s="1047">
        <v>45975</v>
      </c>
      <c r="E902" s="1048" t="s">
        <v>650</v>
      </c>
      <c r="G902" s="1049">
        <v>99.184000000000012</v>
      </c>
      <c r="H902" s="1049"/>
      <c r="I902" s="471">
        <v>8520.2180000000008</v>
      </c>
      <c r="J902" s="1050" t="s">
        <v>273</v>
      </c>
      <c r="K902" s="22">
        <f t="shared" si="110"/>
        <v>6230</v>
      </c>
      <c r="L902" s="74" t="str">
        <f>VLOOKUP($J902,'2 CODIFICATION'!A$5:B$21,2,"FAUX")</f>
        <v>ADMINIST ET FONCT</v>
      </c>
      <c r="M902" s="74" t="str">
        <f>VLOOKUP($K902,'2 CODIFICATION'!D$8:E$64,2,"FAUX")</f>
        <v>communication</v>
      </c>
      <c r="N902" s="84">
        <v>623000</v>
      </c>
      <c r="O902" s="206">
        <f t="shared" si="107"/>
        <v>99.184000000000012</v>
      </c>
      <c r="P902" s="84">
        <f t="shared" si="111"/>
        <v>2025</v>
      </c>
      <c r="Q902" s="11" t="str">
        <f>VLOOKUP($N902,'2 CODIFICATION'!$G$5:$L$71,3,FALSE)</f>
        <v>Publicité, publications, Création de site web</v>
      </c>
      <c r="R902" s="53" t="str">
        <f>VLOOKUP($N902,'2 CODIFICATION'!$G$5:$L$71,4,FALSE)</f>
        <v>chges</v>
      </c>
      <c r="S902" s="53">
        <f>VLOOKUP($N902,'2 CODIFICATION'!$G$5:$L$71,5,FALSE)</f>
        <v>62</v>
      </c>
      <c r="T902" s="11" t="str">
        <f>VLOOKUP($N902,'2 CODIFICATION'!$G$5:$L$71,6,FALSE)</f>
        <v>Autres services extérieurs</v>
      </c>
    </row>
    <row r="903" spans="1:20" s="78" customFormat="1">
      <c r="A903" s="78" t="s">
        <v>1004</v>
      </c>
      <c r="B903" s="427" t="s">
        <v>79</v>
      </c>
      <c r="D903" s="1047">
        <v>45975</v>
      </c>
      <c r="E903" s="1048" t="s">
        <v>727</v>
      </c>
      <c r="G903" s="1049">
        <v>70</v>
      </c>
      <c r="H903" s="1049"/>
      <c r="I903" s="471">
        <v>8590.2180000000008</v>
      </c>
      <c r="J903" s="1050" t="s">
        <v>273</v>
      </c>
      <c r="K903" s="22">
        <f t="shared" si="110"/>
        <v>7581</v>
      </c>
      <c r="L903" s="74" t="str">
        <f>VLOOKUP($J903,'2 CODIFICATION'!A$5:B$21,2,"FAUX")</f>
        <v>ADMINIST ET FONCT</v>
      </c>
      <c r="M903" s="74" t="str">
        <f>VLOOKUP($K903,'2 CODIFICATION'!D$8:E$64,2,"FAUX")</f>
        <v>Adhésions association</v>
      </c>
      <c r="N903" s="84">
        <v>758100</v>
      </c>
      <c r="O903" s="206">
        <f t="shared" si="107"/>
        <v>70</v>
      </c>
      <c r="P903" s="84">
        <f t="shared" si="111"/>
        <v>2025</v>
      </c>
      <c r="Q903" s="11" t="str">
        <f>VLOOKUP($N903,'2 CODIFICATION'!$G$5:$L$71,3,FALSE)</f>
        <v>Cotisations individuelles et associatives</v>
      </c>
      <c r="R903" s="53" t="str">
        <f>VLOOKUP($N903,'2 CODIFICATION'!$G$5:$L$71,4,FALSE)</f>
        <v>pdts</v>
      </c>
      <c r="S903" s="53">
        <f>VLOOKUP($N903,'2 CODIFICATION'!$G$5:$L$71,5,FALSE)</f>
        <v>75</v>
      </c>
      <c r="T903" s="11" t="str">
        <f>VLOOKUP($N903,'2 CODIFICATION'!$G$5:$L$71,6,FALSE)</f>
        <v>Autres produits de gestion courante</v>
      </c>
    </row>
    <row r="904" spans="1:20" s="78" customFormat="1" ht="21.5">
      <c r="A904" s="78" t="s">
        <v>1004</v>
      </c>
      <c r="B904" s="427" t="s">
        <v>79</v>
      </c>
      <c r="D904" s="1047">
        <v>45968</v>
      </c>
      <c r="E904" s="1048" t="s">
        <v>636</v>
      </c>
      <c r="G904" s="1049">
        <v>100</v>
      </c>
      <c r="H904" s="1049"/>
      <c r="I904" s="471">
        <v>8690.2180000000008</v>
      </c>
      <c r="J904" s="1050" t="s">
        <v>273</v>
      </c>
      <c r="K904" s="22">
        <f t="shared" si="110"/>
        <v>7581</v>
      </c>
      <c r="L904" s="74" t="str">
        <f>VLOOKUP($J904,'2 CODIFICATION'!A$5:B$21,2,"FAUX")</f>
        <v>ADMINIST ET FONCT</v>
      </c>
      <c r="M904" s="74" t="str">
        <f>VLOOKUP($K904,'2 CODIFICATION'!D$8:E$64,2,"FAUX")</f>
        <v>Adhésions association</v>
      </c>
      <c r="N904" s="84">
        <v>758100</v>
      </c>
      <c r="O904" s="206">
        <f t="shared" si="107"/>
        <v>100</v>
      </c>
      <c r="P904" s="84">
        <f t="shared" si="111"/>
        <v>2025</v>
      </c>
      <c r="Q904" s="11" t="str">
        <f>VLOOKUP($N904,'2 CODIFICATION'!$G$5:$L$71,3,FALSE)</f>
        <v>Cotisations individuelles et associatives</v>
      </c>
      <c r="R904" s="53" t="str">
        <f>VLOOKUP($N904,'2 CODIFICATION'!$G$5:$L$71,4,FALSE)</f>
        <v>pdts</v>
      </c>
      <c r="S904" s="53">
        <f>VLOOKUP($N904,'2 CODIFICATION'!$G$5:$L$71,5,FALSE)</f>
        <v>75</v>
      </c>
      <c r="T904" s="11" t="str">
        <f>VLOOKUP($N904,'2 CODIFICATION'!$G$5:$L$71,6,FALSE)</f>
        <v>Autres produits de gestion courante</v>
      </c>
    </row>
    <row r="905" spans="1:20" s="78" customFormat="1" ht="21.5">
      <c r="A905" s="78" t="s">
        <v>1004</v>
      </c>
      <c r="B905" s="427" t="s">
        <v>79</v>
      </c>
      <c r="D905" s="1047">
        <v>45964</v>
      </c>
      <c r="E905" s="1048" t="s">
        <v>726</v>
      </c>
      <c r="G905" s="1049">
        <v>100</v>
      </c>
      <c r="H905" s="1049"/>
      <c r="I905" s="471">
        <v>8790.2180000000008</v>
      </c>
      <c r="J905" s="1050" t="s">
        <v>273</v>
      </c>
      <c r="K905" s="22">
        <f t="shared" si="110"/>
        <v>7581</v>
      </c>
      <c r="L905" s="74" t="str">
        <f>VLOOKUP($J905,'2 CODIFICATION'!A$5:B$21,2,"FAUX")</f>
        <v>ADMINIST ET FONCT</v>
      </c>
      <c r="M905" s="74" t="str">
        <f>VLOOKUP($K905,'2 CODIFICATION'!D$8:E$64,2,"FAUX")</f>
        <v>Adhésions association</v>
      </c>
      <c r="N905" s="84">
        <v>758100</v>
      </c>
      <c r="O905" s="206">
        <f t="shared" si="107"/>
        <v>100</v>
      </c>
      <c r="P905" s="84">
        <f t="shared" si="111"/>
        <v>2025</v>
      </c>
      <c r="Q905" s="11" t="str">
        <f>VLOOKUP($N905,'2 CODIFICATION'!$G$5:$L$71,3,FALSE)</f>
        <v>Cotisations individuelles et associatives</v>
      </c>
      <c r="R905" s="53" t="str">
        <f>VLOOKUP($N905,'2 CODIFICATION'!$G$5:$L$71,4,FALSE)</f>
        <v>pdts</v>
      </c>
      <c r="S905" s="53">
        <f>VLOOKUP($N905,'2 CODIFICATION'!$G$5:$L$71,5,FALSE)</f>
        <v>75</v>
      </c>
      <c r="T905" s="11" t="str">
        <f>VLOOKUP($N905,'2 CODIFICATION'!$G$5:$L$71,6,FALSE)</f>
        <v>Autres produits de gestion courante</v>
      </c>
    </row>
    <row r="906" spans="1:20" s="78" customFormat="1">
      <c r="A906" s="78" t="s">
        <v>1004</v>
      </c>
      <c r="B906" s="427" t="s">
        <v>79</v>
      </c>
      <c r="D906" s="1047">
        <v>45947</v>
      </c>
      <c r="E906" s="1048" t="s">
        <v>725</v>
      </c>
      <c r="G906" s="1051">
        <v>434.78</v>
      </c>
      <c r="H906" s="1049"/>
      <c r="I906" s="471">
        <v>9224.9980000000014</v>
      </c>
      <c r="J906" s="1050" t="s">
        <v>273</v>
      </c>
      <c r="K906" s="22">
        <f t="shared" si="110"/>
        <v>7771</v>
      </c>
      <c r="L906" s="74" t="str">
        <f>VLOOKUP($J906,'2 CODIFICATION'!A$5:B$21,2,"FAUX")</f>
        <v>ADMINIST ET FONCT</v>
      </c>
      <c r="M906" s="74" t="str">
        <f>VLOOKUP($K906,'2 CODIFICATION'!D$8:E$64,2,"FAUX")</f>
        <v>Dons et participations à l"association</v>
      </c>
      <c r="N906" s="84">
        <v>777100</v>
      </c>
      <c r="O906" s="206">
        <f t="shared" si="107"/>
        <v>434.78</v>
      </c>
      <c r="P906" s="84">
        <f t="shared" si="111"/>
        <v>2025</v>
      </c>
      <c r="Q906" s="11" t="str">
        <f>VLOOKUP($N906,'2 CODIFICATION'!$G$5:$L$71,3,FALSE)</f>
        <v>Dons et autres mises à dispositions gratuites</v>
      </c>
      <c r="R906" s="53" t="str">
        <f>VLOOKUP($N906,'2 CODIFICATION'!$G$5:$L$71,4,FALSE)</f>
        <v>pdts</v>
      </c>
      <c r="S906" s="53">
        <f>VLOOKUP($N906,'2 CODIFICATION'!$G$5:$L$71,5,FALSE)</f>
        <v>77</v>
      </c>
      <c r="T906" s="11" t="str">
        <f>VLOOKUP($N906,'2 CODIFICATION'!$G$5:$L$71,6,FALSE)</f>
        <v>Produits exceptionnels</v>
      </c>
    </row>
    <row r="907" spans="1:20" s="78" customFormat="1">
      <c r="A907" s="78" t="s">
        <v>1004</v>
      </c>
      <c r="B907" s="427" t="s">
        <v>79</v>
      </c>
      <c r="D907" s="1047">
        <v>45747</v>
      </c>
      <c r="E907" s="1048" t="s">
        <v>774</v>
      </c>
      <c r="F907" s="1055"/>
      <c r="G907" s="1049"/>
      <c r="H907" s="1049">
        <v>300</v>
      </c>
      <c r="I907" s="471">
        <v>8924.9980000000014</v>
      </c>
      <c r="J907" s="1050" t="s">
        <v>273</v>
      </c>
      <c r="K907" s="22">
        <f t="shared" si="110"/>
        <v>6040</v>
      </c>
      <c r="L907" s="74" t="str">
        <f>VLOOKUP($J907,'2 CODIFICATION'!A$5:B$21,2,"FAUX")</f>
        <v>ADMINIST ET FONCT</v>
      </c>
      <c r="M907" s="74" t="str">
        <f>VLOOKUP($K907,'2 CODIFICATION'!D$8:E$64,2,"FAUX")</f>
        <v>prestations études</v>
      </c>
      <c r="N907" s="84">
        <v>604000</v>
      </c>
      <c r="O907" s="206">
        <f t="shared" si="107"/>
        <v>-300</v>
      </c>
      <c r="P907" s="84">
        <f t="shared" si="111"/>
        <v>2025</v>
      </c>
      <c r="Q907" s="11" t="str">
        <f>VLOOKUP($N907,'2 CODIFICATION'!$G$5:$L$71,3,FALSE)</f>
        <v>Prestations de services (Hydrogéologue Nokbak)</v>
      </c>
      <c r="R907" s="53" t="str">
        <f>VLOOKUP($N907,'2 CODIFICATION'!$G$5:$L$71,4,FALSE)</f>
        <v>chges</v>
      </c>
      <c r="S907" s="53">
        <f>VLOOKUP($N907,'2 CODIFICATION'!$G$5:$L$71,5,FALSE)</f>
        <v>60</v>
      </c>
      <c r="T907" s="11" t="str">
        <f>VLOOKUP($N907,'2 CODIFICATION'!$G$5:$L$71,6,FALSE)</f>
        <v>Achat</v>
      </c>
    </row>
    <row r="908" spans="1:20" s="78" customFormat="1">
      <c r="A908" s="78" t="s">
        <v>1004</v>
      </c>
      <c r="B908" s="427" t="s">
        <v>79</v>
      </c>
      <c r="D908" s="1047">
        <v>45838</v>
      </c>
      <c r="E908" s="1048" t="s">
        <v>774</v>
      </c>
      <c r="F908" s="1055"/>
      <c r="G908" s="1049"/>
      <c r="H908" s="1049">
        <v>300</v>
      </c>
      <c r="I908" s="471">
        <v>8624.9980000000014</v>
      </c>
      <c r="J908" s="1050" t="s">
        <v>273</v>
      </c>
      <c r="K908" s="22">
        <f t="shared" si="110"/>
        <v>6040</v>
      </c>
      <c r="L908" s="74" t="str">
        <f>VLOOKUP($J908,'2 CODIFICATION'!A$5:B$21,2,"FAUX")</f>
        <v>ADMINIST ET FONCT</v>
      </c>
      <c r="M908" s="74" t="str">
        <f>VLOOKUP($K908,'2 CODIFICATION'!D$8:E$64,2,"FAUX")</f>
        <v>prestations études</v>
      </c>
      <c r="N908" s="84">
        <v>604000</v>
      </c>
      <c r="O908" s="206">
        <f t="shared" si="107"/>
        <v>-300</v>
      </c>
      <c r="P908" s="84">
        <f t="shared" si="111"/>
        <v>2025</v>
      </c>
      <c r="Q908" s="11" t="str">
        <f>VLOOKUP($N908,'2 CODIFICATION'!$G$5:$L$71,3,FALSE)</f>
        <v>Prestations de services (Hydrogéologue Nokbak)</v>
      </c>
      <c r="R908" s="53" t="str">
        <f>VLOOKUP($N908,'2 CODIFICATION'!$G$5:$L$71,4,FALSE)</f>
        <v>chges</v>
      </c>
      <c r="S908" s="53">
        <f>VLOOKUP($N908,'2 CODIFICATION'!$G$5:$L$71,5,FALSE)</f>
        <v>60</v>
      </c>
      <c r="T908" s="11" t="str">
        <f>VLOOKUP($N908,'2 CODIFICATION'!$G$5:$L$71,6,FALSE)</f>
        <v>Achat</v>
      </c>
    </row>
    <row r="909" spans="1:20" s="78" customFormat="1">
      <c r="A909" s="78" t="s">
        <v>1004</v>
      </c>
      <c r="B909" s="427" t="s">
        <v>79</v>
      </c>
      <c r="D909" s="1047">
        <v>45900</v>
      </c>
      <c r="E909" s="1048" t="s">
        <v>876</v>
      </c>
      <c r="F909" s="1055"/>
      <c r="G909" s="1049"/>
      <c r="H909" s="1051">
        <v>1500</v>
      </c>
      <c r="I909" s="471">
        <v>7124.9980000000014</v>
      </c>
      <c r="J909" s="1050" t="s">
        <v>273</v>
      </c>
      <c r="K909" s="22">
        <f t="shared" si="110"/>
        <v>6256</v>
      </c>
      <c r="L909" s="74" t="str">
        <f>VLOOKUP($J909,'2 CODIFICATION'!A$5:B$21,2,"FAUX")</f>
        <v>ADMINIST ET FONCT</v>
      </c>
      <c r="M909" s="74" t="str">
        <f>VLOOKUP($K909,'2 CODIFICATION'!D$8:E$64,2,"FAUX")</f>
        <v>Frais de mission</v>
      </c>
      <c r="N909" s="84">
        <v>625600</v>
      </c>
      <c r="O909" s="206">
        <f t="shared" si="107"/>
        <v>-1500</v>
      </c>
      <c r="P909" s="84">
        <f t="shared" si="111"/>
        <v>2025</v>
      </c>
      <c r="Q909" s="11" t="str">
        <f>VLOOKUP($N909,'2 CODIFICATION'!$G$5:$L$71,3,FALSE)</f>
        <v>Missions et manifestations</v>
      </c>
      <c r="R909" s="53" t="str">
        <f>VLOOKUP($N909,'2 CODIFICATION'!$G$5:$L$71,4,FALSE)</f>
        <v>chges</v>
      </c>
      <c r="S909" s="53">
        <f>VLOOKUP($N909,'2 CODIFICATION'!$G$5:$L$71,5,FALSE)</f>
        <v>62</v>
      </c>
      <c r="T909" s="11" t="str">
        <f>VLOOKUP($N909,'2 CODIFICATION'!$G$5:$L$71,6,FALSE)</f>
        <v>Autres services extérieurs</v>
      </c>
    </row>
    <row r="910" spans="1:20" s="78" customFormat="1">
      <c r="A910" s="78" t="s">
        <v>1004</v>
      </c>
      <c r="B910" s="427" t="s">
        <v>79</v>
      </c>
      <c r="D910" s="1047">
        <v>45900</v>
      </c>
      <c r="E910" s="1048" t="s">
        <v>775</v>
      </c>
      <c r="F910" s="1055"/>
      <c r="G910" s="1051">
        <v>1500</v>
      </c>
      <c r="H910" s="1049"/>
      <c r="I910" s="471">
        <v>8624.9980000000014</v>
      </c>
      <c r="J910" s="1050" t="s">
        <v>273</v>
      </c>
      <c r="K910" s="22">
        <f t="shared" si="110"/>
        <v>7771</v>
      </c>
      <c r="L910" s="74" t="str">
        <f>VLOOKUP($J910,'2 CODIFICATION'!A$5:B$21,2,"FAUX")</f>
        <v>ADMINIST ET FONCT</v>
      </c>
      <c r="M910" s="74" t="str">
        <f>VLOOKUP($K910,'2 CODIFICATION'!D$8:E$64,2,"FAUX")</f>
        <v>Dons et participations à l"association</v>
      </c>
      <c r="N910" s="84">
        <v>777100</v>
      </c>
      <c r="O910" s="206">
        <f t="shared" si="107"/>
        <v>1500</v>
      </c>
      <c r="P910" s="84">
        <f t="shared" si="111"/>
        <v>2025</v>
      </c>
      <c r="Q910" s="11" t="str">
        <f>VLOOKUP($N910,'2 CODIFICATION'!$G$5:$L$71,3,FALSE)</f>
        <v>Dons et autres mises à dispositions gratuites</v>
      </c>
      <c r="R910" s="53" t="str">
        <f>VLOOKUP($N910,'2 CODIFICATION'!$G$5:$L$71,4,FALSE)</f>
        <v>pdts</v>
      </c>
      <c r="S910" s="53">
        <f>VLOOKUP($N910,'2 CODIFICATION'!$G$5:$L$71,5,FALSE)</f>
        <v>77</v>
      </c>
      <c r="T910" s="11" t="str">
        <f>VLOOKUP($N910,'2 CODIFICATION'!$G$5:$L$71,6,FALSE)</f>
        <v>Produits exceptionnels</v>
      </c>
    </row>
    <row r="911" spans="1:20" s="78" customFormat="1">
      <c r="A911" s="78" t="s">
        <v>1004</v>
      </c>
      <c r="B911" s="427" t="s">
        <v>79</v>
      </c>
      <c r="D911" s="1047">
        <v>45900</v>
      </c>
      <c r="E911" s="1048" t="s">
        <v>882</v>
      </c>
      <c r="F911" s="1055"/>
      <c r="G911" s="1051">
        <v>912.5</v>
      </c>
      <c r="H911" s="1049"/>
      <c r="I911" s="471">
        <v>8037.4980000000014</v>
      </c>
      <c r="J911" s="1050" t="s">
        <v>273</v>
      </c>
      <c r="K911" s="22">
        <f t="shared" si="110"/>
        <v>7772</v>
      </c>
      <c r="L911" s="74" t="str">
        <f>VLOOKUP($J911,'2 CODIFICATION'!A$5:B$21,2,"FAUX")</f>
        <v>ADMINIST ET FONCT</v>
      </c>
      <c r="M911" s="74" t="str">
        <f>VLOOKUP($K911,'2 CODIFICATION'!D$8:E$64,2,"FAUX")</f>
        <v>Autres partenariats</v>
      </c>
      <c r="N911" s="84">
        <v>777200</v>
      </c>
      <c r="O911" s="206">
        <f t="shared" si="107"/>
        <v>912.5</v>
      </c>
      <c r="P911" s="84">
        <f t="shared" si="111"/>
        <v>2025</v>
      </c>
      <c r="Q911" s="11" t="str">
        <f>VLOOKUP($N911,'2 CODIFICATION'!$G$5:$L$71,3,FALSE)</f>
        <v>Autres partenariats</v>
      </c>
      <c r="R911" s="53" t="str">
        <f>VLOOKUP($N911,'2 CODIFICATION'!$G$5:$L$71,4,FALSE)</f>
        <v>pdts</v>
      </c>
      <c r="S911" s="53">
        <f>VLOOKUP($N911,'2 CODIFICATION'!$G$5:$L$71,5,FALSE)</f>
        <v>77</v>
      </c>
      <c r="T911" s="11" t="str">
        <f>VLOOKUP($N911,'2 CODIFICATION'!$G$5:$L$71,6,FALSE)</f>
        <v>Emplois des contributions volontaires</v>
      </c>
    </row>
    <row r="912" spans="1:20" s="78" customFormat="1">
      <c r="A912" s="78" t="s">
        <v>1004</v>
      </c>
      <c r="B912" s="427" t="s">
        <v>79</v>
      </c>
      <c r="D912" s="1047">
        <v>45930</v>
      </c>
      <c r="E912" s="1048" t="s">
        <v>774</v>
      </c>
      <c r="F912" s="1055"/>
      <c r="G912" s="1049"/>
      <c r="H912" s="1049">
        <v>300</v>
      </c>
      <c r="I912" s="471">
        <v>8324.9980000000014</v>
      </c>
      <c r="J912" s="1050" t="s">
        <v>273</v>
      </c>
      <c r="K912" s="22">
        <f t="shared" si="110"/>
        <v>6040</v>
      </c>
      <c r="L912" s="74" t="str">
        <f>VLOOKUP($J912,'2 CODIFICATION'!A$5:B$21,2,"FAUX")</f>
        <v>ADMINIST ET FONCT</v>
      </c>
      <c r="M912" s="74" t="str">
        <f>VLOOKUP($K912,'2 CODIFICATION'!D$8:E$64,2,"FAUX")</f>
        <v>prestations études</v>
      </c>
      <c r="N912" s="84">
        <v>604000</v>
      </c>
      <c r="O912" s="206">
        <f t="shared" si="107"/>
        <v>-300</v>
      </c>
      <c r="P912" s="84">
        <f t="shared" si="111"/>
        <v>2025</v>
      </c>
      <c r="Q912" s="11" t="str">
        <f>VLOOKUP($N912,'2 CODIFICATION'!$G$5:$L$71,3,FALSE)</f>
        <v>Prestations de services (Hydrogéologue Nokbak)</v>
      </c>
      <c r="R912" s="53" t="str">
        <f>VLOOKUP($N912,'2 CODIFICATION'!$G$5:$L$71,4,FALSE)</f>
        <v>chges</v>
      </c>
      <c r="S912" s="53">
        <f>VLOOKUP($N912,'2 CODIFICATION'!$G$5:$L$71,5,FALSE)</f>
        <v>60</v>
      </c>
      <c r="T912" s="11" t="str">
        <f>VLOOKUP($N912,'2 CODIFICATION'!$G$5:$L$71,6,FALSE)</f>
        <v>Achat</v>
      </c>
    </row>
    <row r="913" spans="1:20" s="78" customFormat="1">
      <c r="A913" s="78" t="s">
        <v>1004</v>
      </c>
      <c r="B913" s="427" t="s">
        <v>79</v>
      </c>
      <c r="D913" s="1047">
        <v>46022</v>
      </c>
      <c r="E913" s="1048" t="s">
        <v>774</v>
      </c>
      <c r="F913" s="1055"/>
      <c r="G913" s="1049"/>
      <c r="H913" s="1049">
        <v>300</v>
      </c>
      <c r="I913" s="471">
        <v>8024.9980000000014</v>
      </c>
      <c r="J913" s="1050" t="s">
        <v>273</v>
      </c>
      <c r="K913" s="22">
        <f t="shared" si="110"/>
        <v>6040</v>
      </c>
      <c r="L913" s="74" t="str">
        <f>VLOOKUP($J913,'2 CODIFICATION'!A$5:B$21,2,"FAUX")</f>
        <v>ADMINIST ET FONCT</v>
      </c>
      <c r="M913" s="74" t="str">
        <f>VLOOKUP($K913,'2 CODIFICATION'!D$8:E$64,2,"FAUX")</f>
        <v>prestations études</v>
      </c>
      <c r="N913" s="84">
        <v>604000</v>
      </c>
      <c r="O913" s="206">
        <f t="shared" si="107"/>
        <v>-300</v>
      </c>
      <c r="P913" s="84">
        <f t="shared" si="111"/>
        <v>2025</v>
      </c>
      <c r="Q913" s="11" t="str">
        <f>VLOOKUP($N913,'2 CODIFICATION'!$G$5:$L$71,3,FALSE)</f>
        <v>Prestations de services (Hydrogéologue Nokbak)</v>
      </c>
      <c r="R913" s="53" t="str">
        <f>VLOOKUP($N913,'2 CODIFICATION'!$G$5:$L$71,4,FALSE)</f>
        <v>chges</v>
      </c>
      <c r="S913" s="53">
        <f>VLOOKUP($N913,'2 CODIFICATION'!$G$5:$L$71,5,FALSE)</f>
        <v>60</v>
      </c>
      <c r="T913" s="11" t="str">
        <f>VLOOKUP($N913,'2 CODIFICATION'!$G$5:$L$71,6,FALSE)</f>
        <v>Achat</v>
      </c>
    </row>
    <row r="914" spans="1:20" s="78" customFormat="1">
      <c r="A914" s="78" t="s">
        <v>1004</v>
      </c>
      <c r="B914" s="427" t="s">
        <v>79</v>
      </c>
      <c r="D914" s="1047">
        <v>45747</v>
      </c>
      <c r="E914" s="1048" t="s">
        <v>775</v>
      </c>
      <c r="F914" s="1055"/>
      <c r="G914" s="1049">
        <v>300</v>
      </c>
      <c r="H914" s="1049"/>
      <c r="I914" s="471">
        <v>8324.9980000000014</v>
      </c>
      <c r="J914" s="1050" t="s">
        <v>273</v>
      </c>
      <c r="K914" s="22">
        <f t="shared" si="110"/>
        <v>7770</v>
      </c>
      <c r="L914" s="74" t="str">
        <f>VLOOKUP($J914,'2 CODIFICATION'!A$5:B$21,2,"FAUX")</f>
        <v>ADMINIST ET FONCT</v>
      </c>
      <c r="M914" s="74" t="str">
        <f>VLOOKUP($K914,'2 CODIFICATION'!D$8:E$64,2,"FAUX")</f>
        <v>Produits exceptionnels</v>
      </c>
      <c r="N914" s="84">
        <v>777000</v>
      </c>
      <c r="O914" s="206">
        <f t="shared" si="107"/>
        <v>300</v>
      </c>
      <c r="P914" s="84">
        <f t="shared" si="111"/>
        <v>2025</v>
      </c>
      <c r="Q914" s="11" t="str">
        <f>VLOOKUP($N914,'2 CODIFICATION'!$G$5:$L$71,3,FALSE)</f>
        <v>Produits exceptionnels</v>
      </c>
      <c r="R914" s="53" t="str">
        <f>VLOOKUP($N914,'2 CODIFICATION'!$G$5:$L$71,4,FALSE)</f>
        <v>pdts</v>
      </c>
      <c r="S914" s="53">
        <f>VLOOKUP($N914,'2 CODIFICATION'!$G$5:$L$71,5,FALSE)</f>
        <v>77</v>
      </c>
      <c r="T914" s="11" t="str">
        <f>VLOOKUP($N914,'2 CODIFICATION'!$G$5:$L$71,6,FALSE)</f>
        <v>Produits exceptionnels</v>
      </c>
    </row>
    <row r="915" spans="1:20" s="78" customFormat="1">
      <c r="A915" s="78" t="s">
        <v>1004</v>
      </c>
      <c r="B915" s="427" t="s">
        <v>79</v>
      </c>
      <c r="D915" s="1047">
        <v>45838</v>
      </c>
      <c r="E915" s="1048" t="s">
        <v>775</v>
      </c>
      <c r="F915" s="1055"/>
      <c r="G915" s="1049">
        <v>300</v>
      </c>
      <c r="H915" s="1049"/>
      <c r="I915" s="471">
        <v>8624.9980000000014</v>
      </c>
      <c r="J915" s="1050" t="s">
        <v>273</v>
      </c>
      <c r="K915" s="22">
        <f t="shared" si="110"/>
        <v>7770</v>
      </c>
      <c r="L915" s="74" t="str">
        <f>VLOOKUP($J915,'2 CODIFICATION'!A$5:B$21,2,"FAUX")</f>
        <v>ADMINIST ET FONCT</v>
      </c>
      <c r="M915" s="74" t="str">
        <f>VLOOKUP($K915,'2 CODIFICATION'!D$8:E$64,2,"FAUX")</f>
        <v>Produits exceptionnels</v>
      </c>
      <c r="N915" s="84">
        <v>777000</v>
      </c>
      <c r="O915" s="206">
        <f t="shared" si="107"/>
        <v>300</v>
      </c>
      <c r="P915" s="84">
        <f t="shared" si="111"/>
        <v>2025</v>
      </c>
      <c r="Q915" s="11" t="str">
        <f>VLOOKUP($N915,'2 CODIFICATION'!$G$5:$L$71,3,FALSE)</f>
        <v>Produits exceptionnels</v>
      </c>
      <c r="R915" s="53" t="str">
        <f>VLOOKUP($N915,'2 CODIFICATION'!$G$5:$L$71,4,FALSE)</f>
        <v>pdts</v>
      </c>
      <c r="S915" s="53">
        <f>VLOOKUP($N915,'2 CODIFICATION'!$G$5:$L$71,5,FALSE)</f>
        <v>77</v>
      </c>
      <c r="T915" s="11" t="str">
        <f>VLOOKUP($N915,'2 CODIFICATION'!$G$5:$L$71,6,FALSE)</f>
        <v>Produits exceptionnels</v>
      </c>
    </row>
    <row r="916" spans="1:20" s="78" customFormat="1">
      <c r="A916" s="78" t="s">
        <v>1004</v>
      </c>
      <c r="B916" s="427" t="s">
        <v>79</v>
      </c>
      <c r="D916" s="1047">
        <v>45930</v>
      </c>
      <c r="E916" s="1048" t="s">
        <v>775</v>
      </c>
      <c r="F916" s="1055"/>
      <c r="G916" s="1049">
        <v>300</v>
      </c>
      <c r="H916" s="1049"/>
      <c r="I916" s="471">
        <v>8924.9980000000014</v>
      </c>
      <c r="J916" s="1050" t="s">
        <v>273</v>
      </c>
      <c r="K916" s="22">
        <f t="shared" si="110"/>
        <v>7770</v>
      </c>
      <c r="L916" s="74" t="str">
        <f>VLOOKUP($J916,'2 CODIFICATION'!A$5:B$21,2,"FAUX")</f>
        <v>ADMINIST ET FONCT</v>
      </c>
      <c r="M916" s="74" t="str">
        <f>VLOOKUP($K916,'2 CODIFICATION'!D$8:E$64,2,"FAUX")</f>
        <v>Produits exceptionnels</v>
      </c>
      <c r="N916" s="84">
        <v>777000</v>
      </c>
      <c r="O916" s="206">
        <f t="shared" si="107"/>
        <v>300</v>
      </c>
      <c r="P916" s="84">
        <f t="shared" si="111"/>
        <v>2025</v>
      </c>
      <c r="Q916" s="11" t="str">
        <f>VLOOKUP($N916,'2 CODIFICATION'!$G$5:$L$71,3,FALSE)</f>
        <v>Produits exceptionnels</v>
      </c>
      <c r="R916" s="53" t="str">
        <f>VLOOKUP($N916,'2 CODIFICATION'!$G$5:$L$71,4,FALSE)</f>
        <v>pdts</v>
      </c>
      <c r="S916" s="53">
        <f>VLOOKUP($N916,'2 CODIFICATION'!$G$5:$L$71,5,FALSE)</f>
        <v>77</v>
      </c>
      <c r="T916" s="11" t="str">
        <f>VLOOKUP($N916,'2 CODIFICATION'!$G$5:$L$71,6,FALSE)</f>
        <v>Produits exceptionnels</v>
      </c>
    </row>
    <row r="917" spans="1:20" s="78" customFormat="1">
      <c r="A917" s="78" t="s">
        <v>1004</v>
      </c>
      <c r="B917" s="427" t="s">
        <v>79</v>
      </c>
      <c r="D917" s="1047">
        <v>46022</v>
      </c>
      <c r="E917" s="1048" t="s">
        <v>775</v>
      </c>
      <c r="F917" s="1055"/>
      <c r="G917" s="1049">
        <v>300</v>
      </c>
      <c r="H917" s="1049"/>
      <c r="I917" s="471">
        <v>9224.9980000000014</v>
      </c>
      <c r="J917" s="1050" t="s">
        <v>273</v>
      </c>
      <c r="K917" s="22">
        <f t="shared" si="110"/>
        <v>7770</v>
      </c>
      <c r="L917" s="74" t="str">
        <f>VLOOKUP($J917,'2 CODIFICATION'!A$5:B$21,2,"FAUX")</f>
        <v>ADMINIST ET FONCT</v>
      </c>
      <c r="M917" s="74" t="str">
        <f>VLOOKUP($K917,'2 CODIFICATION'!D$8:E$64,2,"FAUX")</f>
        <v>Produits exceptionnels</v>
      </c>
      <c r="N917" s="84">
        <v>777000</v>
      </c>
      <c r="O917" s="206">
        <f t="shared" si="107"/>
        <v>300</v>
      </c>
      <c r="P917" s="84">
        <f t="shared" si="111"/>
        <v>2025</v>
      </c>
      <c r="Q917" s="11" t="str">
        <f>VLOOKUP($N917,'2 CODIFICATION'!$G$5:$L$71,3,FALSE)</f>
        <v>Produits exceptionnels</v>
      </c>
      <c r="R917" s="53" t="str">
        <f>VLOOKUP($N917,'2 CODIFICATION'!$G$5:$L$71,4,FALSE)</f>
        <v>pdts</v>
      </c>
      <c r="S917" s="53">
        <f>VLOOKUP($N917,'2 CODIFICATION'!$G$5:$L$71,5,FALSE)</f>
        <v>77</v>
      </c>
      <c r="T917" s="11" t="str">
        <f>VLOOKUP($N917,'2 CODIFICATION'!$G$5:$L$71,6,FALSE)</f>
        <v>Produits exceptionnels</v>
      </c>
    </row>
    <row r="918" spans="1:20" s="78" customFormat="1" ht="26" hidden="1" collapsed="1">
      <c r="A918" s="78" t="s">
        <v>1004</v>
      </c>
      <c r="B918" s="78" t="s">
        <v>79</v>
      </c>
      <c r="D918" s="1078">
        <v>46022</v>
      </c>
      <c r="E918" s="1079" t="s">
        <v>733</v>
      </c>
      <c r="F918" s="1079"/>
      <c r="G918" s="1080"/>
      <c r="H918" s="1065">
        <v>525</v>
      </c>
      <c r="I918" s="1081">
        <v>-525</v>
      </c>
      <c r="J918" s="84" t="s">
        <v>998</v>
      </c>
      <c r="K918" s="22">
        <f t="shared" si="110"/>
        <v>6110</v>
      </c>
      <c r="L918" s="74" t="str">
        <f>VLOOKUP($J918,'2 CODIFICATION'!A$5:B$21,2,"FAUX")</f>
        <v>PROJET FORAGES</v>
      </c>
      <c r="M918" s="74" t="str">
        <f>VLOOKUP($K918,'2 CODIFICATION'!D$8:E$64,2,"FAUX")</f>
        <v>Sous traitance projet</v>
      </c>
      <c r="N918" s="84">
        <v>611000</v>
      </c>
      <c r="O918" s="206">
        <f t="shared" si="107"/>
        <v>-525</v>
      </c>
      <c r="P918" s="84">
        <f t="shared" si="111"/>
        <v>2025</v>
      </c>
      <c r="Q918" s="11" t="str">
        <f>VLOOKUP($N918,'2 CODIFICATION'!$G$5:$L$71,3,FALSE)</f>
        <v xml:space="preserve">Sous-traitance générale </v>
      </c>
      <c r="R918" s="53" t="str">
        <f>VLOOKUP($N918,'2 CODIFICATION'!$G$5:$L$71,4,FALSE)</f>
        <v>chges</v>
      </c>
      <c r="S918" s="53">
        <f>VLOOKUP($N918,'2 CODIFICATION'!$G$5:$L$71,5,FALSE)</f>
        <v>61</v>
      </c>
      <c r="T918" s="11" t="str">
        <f>VLOOKUP($N918,'2 CODIFICATION'!$G$5:$L$71,6,FALSE)</f>
        <v>Services extérieurs</v>
      </c>
    </row>
    <row r="919" spans="1:20" s="78" customFormat="1" ht="26" hidden="1">
      <c r="A919" s="78" t="s">
        <v>1004</v>
      </c>
      <c r="B919" s="78" t="s">
        <v>79</v>
      </c>
      <c r="D919" s="1078">
        <v>46022</v>
      </c>
      <c r="E919" s="1083" t="s">
        <v>735</v>
      </c>
      <c r="F919" s="1083"/>
      <c r="G919" s="1084"/>
      <c r="H919" s="1065">
        <v>875</v>
      </c>
      <c r="I919" s="1085">
        <v>-1400</v>
      </c>
      <c r="J919" s="84" t="s">
        <v>998</v>
      </c>
      <c r="K919" s="22">
        <f t="shared" si="110"/>
        <v>6110</v>
      </c>
      <c r="L919" s="74" t="str">
        <f>VLOOKUP($J919,'2 CODIFICATION'!A$5:B$21,2,"FAUX")</f>
        <v>PROJET FORAGES</v>
      </c>
      <c r="M919" s="74" t="str">
        <f>VLOOKUP($K919,'2 CODIFICATION'!D$8:E$64,2,"FAUX")</f>
        <v>Sous traitance projet</v>
      </c>
      <c r="N919" s="84">
        <v>611000</v>
      </c>
      <c r="O919" s="206">
        <f t="shared" si="107"/>
        <v>-875</v>
      </c>
      <c r="P919" s="84">
        <f t="shared" si="111"/>
        <v>2025</v>
      </c>
      <c r="Q919" s="11" t="str">
        <f>VLOOKUP($N919,'2 CODIFICATION'!$G$5:$L$71,3,FALSE)</f>
        <v xml:space="preserve">Sous-traitance générale </v>
      </c>
      <c r="R919" s="53" t="str">
        <f>VLOOKUP($N919,'2 CODIFICATION'!$G$5:$L$71,4,FALSE)</f>
        <v>chges</v>
      </c>
      <c r="S919" s="53">
        <f>VLOOKUP($N919,'2 CODIFICATION'!$G$5:$L$71,5,FALSE)</f>
        <v>61</v>
      </c>
      <c r="T919" s="11" t="str">
        <f>VLOOKUP($N919,'2 CODIFICATION'!$G$5:$L$71,6,FALSE)</f>
        <v>Services extérieurs</v>
      </c>
    </row>
    <row r="920" spans="1:20" s="78" customFormat="1" ht="26" hidden="1">
      <c r="A920" s="78" t="s">
        <v>1004</v>
      </c>
      <c r="B920" s="78" t="s">
        <v>79</v>
      </c>
      <c r="D920" s="1078">
        <v>46022</v>
      </c>
      <c r="E920" s="1087" t="s">
        <v>736</v>
      </c>
      <c r="F920" s="1087"/>
      <c r="G920" s="1088"/>
      <c r="H920" s="1065">
        <v>500</v>
      </c>
      <c r="I920" s="1089">
        <v>-1900</v>
      </c>
      <c r="J920" s="84" t="s">
        <v>998</v>
      </c>
      <c r="K920" s="22">
        <f t="shared" si="110"/>
        <v>6110</v>
      </c>
      <c r="L920" s="74" t="str">
        <f>VLOOKUP($J920,'2 CODIFICATION'!A$5:B$21,2,"FAUX")</f>
        <v>PROJET FORAGES</v>
      </c>
      <c r="M920" s="74" t="str">
        <f>VLOOKUP($K920,'2 CODIFICATION'!D$8:E$64,2,"FAUX")</f>
        <v>Sous traitance projet</v>
      </c>
      <c r="N920" s="84">
        <v>611000</v>
      </c>
      <c r="O920" s="206">
        <f t="shared" si="107"/>
        <v>-500</v>
      </c>
      <c r="P920" s="84">
        <f t="shared" si="111"/>
        <v>2025</v>
      </c>
      <c r="Q920" s="11" t="str">
        <f>VLOOKUP($N920,'2 CODIFICATION'!$G$5:$L$71,3,FALSE)</f>
        <v xml:space="preserve">Sous-traitance générale </v>
      </c>
      <c r="R920" s="53" t="str">
        <f>VLOOKUP($N920,'2 CODIFICATION'!$G$5:$L$71,4,FALSE)</f>
        <v>chges</v>
      </c>
      <c r="S920" s="53">
        <f>VLOOKUP($N920,'2 CODIFICATION'!$G$5:$L$71,5,FALSE)</f>
        <v>61</v>
      </c>
      <c r="T920" s="11" t="str">
        <f>VLOOKUP($N920,'2 CODIFICATION'!$G$5:$L$71,6,FALSE)</f>
        <v>Services extérieurs</v>
      </c>
    </row>
    <row r="921" spans="1:20" s="78" customFormat="1" hidden="1">
      <c r="A921" s="78" t="s">
        <v>1004</v>
      </c>
      <c r="B921" s="78" t="s">
        <v>79</v>
      </c>
      <c r="D921" s="1078">
        <v>46022</v>
      </c>
      <c r="E921" s="1091" t="s">
        <v>737</v>
      </c>
      <c r="F921" s="1091"/>
      <c r="G921" s="1092"/>
      <c r="H921" s="1474">
        <f>875-26.76</f>
        <v>848.24</v>
      </c>
      <c r="I921" s="1089">
        <v>-2775</v>
      </c>
      <c r="J921" s="84" t="s">
        <v>998</v>
      </c>
      <c r="K921" s="22">
        <f t="shared" si="110"/>
        <v>6250</v>
      </c>
      <c r="L921" s="74" t="str">
        <f>VLOOKUP($J921,'2 CODIFICATION'!A$5:B$21,2,"FAUX")</f>
        <v>PROJET FORAGES</v>
      </c>
      <c r="M921" s="74" t="str">
        <f>VLOOKUP($K921,'2 CODIFICATION'!D$8:E$64,2,"FAUX")</f>
        <v>déplacements</v>
      </c>
      <c r="N921" s="84">
        <v>625000</v>
      </c>
      <c r="O921" s="206">
        <f t="shared" si="107"/>
        <v>-848.24</v>
      </c>
      <c r="P921" s="84">
        <f t="shared" si="111"/>
        <v>2025</v>
      </c>
      <c r="Q921" s="11" t="str">
        <f>VLOOKUP($N921,'2 CODIFICATION'!$G$5:$L$71,3,FALSE)</f>
        <v>Déplacements, missions et réceptions</v>
      </c>
      <c r="R921" s="53" t="str">
        <f>VLOOKUP($N921,'2 CODIFICATION'!$G$5:$L$71,4,FALSE)</f>
        <v>chges</v>
      </c>
      <c r="S921" s="53">
        <f>VLOOKUP($N921,'2 CODIFICATION'!$G$5:$L$71,5,FALSE)</f>
        <v>62</v>
      </c>
      <c r="T921" s="11" t="str">
        <f>VLOOKUP($N921,'2 CODIFICATION'!$G$5:$L$71,6,FALSE)</f>
        <v>Autres services extérieurs</v>
      </c>
    </row>
    <row r="922" spans="1:20" s="78" customFormat="1" hidden="1">
      <c r="A922" s="78" t="s">
        <v>1004</v>
      </c>
      <c r="B922" s="78" t="s">
        <v>79</v>
      </c>
      <c r="D922" s="1078">
        <v>46022</v>
      </c>
      <c r="E922" s="1091" t="s">
        <v>738</v>
      </c>
      <c r="F922" s="1091"/>
      <c r="G922" s="1092"/>
      <c r="H922" s="1065">
        <v>250</v>
      </c>
      <c r="I922" s="1089">
        <v>-3025</v>
      </c>
      <c r="J922" s="84" t="s">
        <v>998</v>
      </c>
      <c r="K922" s="22">
        <f t="shared" si="110"/>
        <v>6250</v>
      </c>
      <c r="L922" s="74" t="str">
        <f>VLOOKUP($J922,'2 CODIFICATION'!A$5:B$21,2,"FAUX")</f>
        <v>PROJET FORAGES</v>
      </c>
      <c r="M922" s="74" t="str">
        <f>VLOOKUP($K922,'2 CODIFICATION'!D$8:E$64,2,"FAUX")</f>
        <v>déplacements</v>
      </c>
      <c r="N922" s="84">
        <v>625000</v>
      </c>
      <c r="O922" s="206">
        <f t="shared" si="107"/>
        <v>-250</v>
      </c>
      <c r="P922" s="84">
        <f t="shared" si="111"/>
        <v>2025</v>
      </c>
      <c r="Q922" s="11" t="str">
        <f>VLOOKUP($N922,'2 CODIFICATION'!$G$5:$L$71,3,FALSE)</f>
        <v>Déplacements, missions et réceptions</v>
      </c>
      <c r="R922" s="53" t="str">
        <f>VLOOKUP($N922,'2 CODIFICATION'!$G$5:$L$71,4,FALSE)</f>
        <v>chges</v>
      </c>
      <c r="S922" s="53">
        <f>VLOOKUP($N922,'2 CODIFICATION'!$G$5:$L$71,5,FALSE)</f>
        <v>62</v>
      </c>
      <c r="T922" s="11" t="str">
        <f>VLOOKUP($N922,'2 CODIFICATION'!$G$5:$L$71,6,FALSE)</f>
        <v>Autres services extérieurs</v>
      </c>
    </row>
    <row r="923" spans="1:20" s="78" customFormat="1" hidden="1">
      <c r="A923" s="78" t="s">
        <v>1004</v>
      </c>
      <c r="B923" s="78" t="s">
        <v>79</v>
      </c>
      <c r="D923" s="1078">
        <v>46022</v>
      </c>
      <c r="E923" s="1091" t="s">
        <v>739</v>
      </c>
      <c r="F923" s="1091"/>
      <c r="G923" s="1092"/>
      <c r="H923" s="1065">
        <v>250</v>
      </c>
      <c r="I923" s="1089">
        <v>-3275</v>
      </c>
      <c r="J923" s="84" t="s">
        <v>998</v>
      </c>
      <c r="K923" s="22">
        <f t="shared" si="110"/>
        <v>6250</v>
      </c>
      <c r="L923" s="74" t="str">
        <f>VLOOKUP($J923,'2 CODIFICATION'!A$5:B$21,2,"FAUX")</f>
        <v>PROJET FORAGES</v>
      </c>
      <c r="M923" s="74" t="str">
        <f>VLOOKUP($K923,'2 CODIFICATION'!D$8:E$64,2,"FAUX")</f>
        <v>déplacements</v>
      </c>
      <c r="N923" s="84">
        <v>625000</v>
      </c>
      <c r="O923" s="206">
        <f t="shared" si="107"/>
        <v>-250</v>
      </c>
      <c r="P923" s="84">
        <f t="shared" si="111"/>
        <v>2025</v>
      </c>
      <c r="Q923" s="11" t="str">
        <f>VLOOKUP($N923,'2 CODIFICATION'!$G$5:$L$71,3,FALSE)</f>
        <v>Déplacements, missions et réceptions</v>
      </c>
      <c r="R923" s="53" t="str">
        <f>VLOOKUP($N923,'2 CODIFICATION'!$G$5:$L$71,4,FALSE)</f>
        <v>chges</v>
      </c>
      <c r="S923" s="53">
        <f>VLOOKUP($N923,'2 CODIFICATION'!$G$5:$L$71,5,FALSE)</f>
        <v>62</v>
      </c>
      <c r="T923" s="11" t="str">
        <f>VLOOKUP($N923,'2 CODIFICATION'!$G$5:$L$71,6,FALSE)</f>
        <v>Autres services extérieurs</v>
      </c>
    </row>
    <row r="924" spans="1:20" s="78" customFormat="1" ht="25" hidden="1">
      <c r="A924" s="78" t="s">
        <v>1004</v>
      </c>
      <c r="B924" s="78" t="s">
        <v>79</v>
      </c>
      <c r="D924" s="1078">
        <v>46022</v>
      </c>
      <c r="E924" s="1093" t="s">
        <v>764</v>
      </c>
      <c r="F924" s="1094"/>
      <c r="G924" s="1095"/>
      <c r="H924" s="1065">
        <v>8932.25</v>
      </c>
      <c r="I924" s="1089">
        <v>-12207.25</v>
      </c>
      <c r="J924" s="84" t="s">
        <v>998</v>
      </c>
      <c r="K924" s="22">
        <f t="shared" si="110"/>
        <v>6110</v>
      </c>
      <c r="L924" s="74" t="str">
        <f>VLOOKUP($J924,'2 CODIFICATION'!A$5:B$21,2,"FAUX")</f>
        <v>PROJET FORAGES</v>
      </c>
      <c r="M924" s="74" t="str">
        <f>VLOOKUP($K924,'2 CODIFICATION'!D$8:E$64,2,"FAUX")</f>
        <v>Sous traitance projet</v>
      </c>
      <c r="N924" s="84">
        <v>611000</v>
      </c>
      <c r="O924" s="206">
        <f t="shared" si="107"/>
        <v>-8932.25</v>
      </c>
      <c r="P924" s="84">
        <f t="shared" si="111"/>
        <v>2025</v>
      </c>
      <c r="Q924" s="11" t="str">
        <f>VLOOKUP($N924,'2 CODIFICATION'!$G$5:$L$71,3,FALSE)</f>
        <v xml:space="preserve">Sous-traitance générale </v>
      </c>
      <c r="R924" s="53" t="str">
        <f>VLOOKUP($N924,'2 CODIFICATION'!$G$5:$L$71,4,FALSE)</f>
        <v>chges</v>
      </c>
      <c r="S924" s="53">
        <f>VLOOKUP($N924,'2 CODIFICATION'!$G$5:$L$71,5,FALSE)</f>
        <v>61</v>
      </c>
      <c r="T924" s="11" t="str">
        <f>VLOOKUP($N924,'2 CODIFICATION'!$G$5:$L$71,6,FALSE)</f>
        <v>Services extérieurs</v>
      </c>
    </row>
    <row r="925" spans="1:20" s="78" customFormat="1" hidden="1">
      <c r="A925" s="78" t="s">
        <v>1004</v>
      </c>
      <c r="B925" s="78" t="s">
        <v>79</v>
      </c>
      <c r="D925" s="1078">
        <v>46022</v>
      </c>
      <c r="E925" s="1096" t="s">
        <v>765</v>
      </c>
      <c r="F925" s="1097"/>
      <c r="G925" s="1098"/>
      <c r="H925" s="1065">
        <v>3795.5</v>
      </c>
      <c r="I925" s="1089">
        <v>-16002.75</v>
      </c>
      <c r="J925" s="84" t="s">
        <v>998</v>
      </c>
      <c r="K925" s="22">
        <f t="shared" si="110"/>
        <v>6110</v>
      </c>
      <c r="L925" s="74" t="str">
        <f>VLOOKUP($J925,'2 CODIFICATION'!A$5:B$21,2,"FAUX")</f>
        <v>PROJET FORAGES</v>
      </c>
      <c r="M925" s="74" t="str">
        <f>VLOOKUP($K925,'2 CODIFICATION'!D$8:E$64,2,"FAUX")</f>
        <v>Sous traitance projet</v>
      </c>
      <c r="N925" s="84">
        <v>611000</v>
      </c>
      <c r="O925" s="206">
        <f t="shared" si="107"/>
        <v>-3795.5</v>
      </c>
      <c r="P925" s="84">
        <f t="shared" si="111"/>
        <v>2025</v>
      </c>
      <c r="Q925" s="11" t="str">
        <f>VLOOKUP($N925,'2 CODIFICATION'!$G$5:$L$71,3,FALSE)</f>
        <v xml:space="preserve">Sous-traitance générale </v>
      </c>
      <c r="R925" s="53" t="str">
        <f>VLOOKUP($N925,'2 CODIFICATION'!$G$5:$L$71,4,FALSE)</f>
        <v>chges</v>
      </c>
      <c r="S925" s="53">
        <f>VLOOKUP($N925,'2 CODIFICATION'!$G$5:$L$71,5,FALSE)</f>
        <v>61</v>
      </c>
      <c r="T925" s="11" t="str">
        <f>VLOOKUP($N925,'2 CODIFICATION'!$G$5:$L$71,6,FALSE)</f>
        <v>Services extérieurs</v>
      </c>
    </row>
    <row r="926" spans="1:20" s="78" customFormat="1" ht="26" hidden="1">
      <c r="A926" s="78" t="s">
        <v>1004</v>
      </c>
      <c r="B926" s="78" t="s">
        <v>79</v>
      </c>
      <c r="D926" s="1078">
        <v>46022</v>
      </c>
      <c r="E926" s="1099" t="s">
        <v>766</v>
      </c>
      <c r="F926" s="1099"/>
      <c r="G926" s="1100"/>
      <c r="H926" s="1065">
        <v>1628.5</v>
      </c>
      <c r="I926" s="1089">
        <v>-17631.25</v>
      </c>
      <c r="J926" s="84" t="s">
        <v>998</v>
      </c>
      <c r="K926" s="22">
        <f t="shared" si="110"/>
        <v>6110</v>
      </c>
      <c r="L926" s="74" t="str">
        <f>VLOOKUP($J926,'2 CODIFICATION'!A$5:B$21,2,"FAUX")</f>
        <v>PROJET FORAGES</v>
      </c>
      <c r="M926" s="74" t="str">
        <f>VLOOKUP($K926,'2 CODIFICATION'!D$8:E$64,2,"FAUX")</f>
        <v>Sous traitance projet</v>
      </c>
      <c r="N926" s="84">
        <v>611000</v>
      </c>
      <c r="O926" s="206">
        <f t="shared" si="107"/>
        <v>-1628.5</v>
      </c>
      <c r="P926" s="84">
        <f t="shared" si="111"/>
        <v>2025</v>
      </c>
      <c r="Q926" s="11" t="str">
        <f>VLOOKUP($N926,'2 CODIFICATION'!$G$5:$L$71,3,FALSE)</f>
        <v xml:space="preserve">Sous-traitance générale </v>
      </c>
      <c r="R926" s="53" t="str">
        <f>VLOOKUP($N926,'2 CODIFICATION'!$G$5:$L$71,4,FALSE)</f>
        <v>chges</v>
      </c>
      <c r="S926" s="53">
        <f>VLOOKUP($N926,'2 CODIFICATION'!$G$5:$L$71,5,FALSE)</f>
        <v>61</v>
      </c>
      <c r="T926" s="11" t="str">
        <f>VLOOKUP($N926,'2 CODIFICATION'!$G$5:$L$71,6,FALSE)</f>
        <v>Services extérieurs</v>
      </c>
    </row>
    <row r="927" spans="1:20" s="78" customFormat="1" hidden="1">
      <c r="A927" s="78" t="s">
        <v>1004</v>
      </c>
      <c r="B927" s="78" t="s">
        <v>79</v>
      </c>
      <c r="D927" s="1078">
        <v>46022</v>
      </c>
      <c r="E927" s="1101" t="s">
        <v>740</v>
      </c>
      <c r="F927" s="1101"/>
      <c r="G927" s="1102"/>
      <c r="H927" s="1065">
        <v>306</v>
      </c>
      <c r="I927" s="1089">
        <v>-17937.25</v>
      </c>
      <c r="J927" s="84" t="s">
        <v>998</v>
      </c>
      <c r="K927" s="22">
        <f t="shared" si="110"/>
        <v>6110</v>
      </c>
      <c r="L927" s="74" t="str">
        <f>VLOOKUP($J927,'2 CODIFICATION'!A$5:B$21,2,"FAUX")</f>
        <v>PROJET FORAGES</v>
      </c>
      <c r="M927" s="74" t="str">
        <f>VLOOKUP($K927,'2 CODIFICATION'!D$8:E$64,2,"FAUX")</f>
        <v>Sous traitance projet</v>
      </c>
      <c r="N927" s="84">
        <v>611000</v>
      </c>
      <c r="O927" s="206">
        <f t="shared" si="107"/>
        <v>-306</v>
      </c>
      <c r="P927" s="84">
        <f t="shared" si="111"/>
        <v>2025</v>
      </c>
      <c r="Q927" s="11" t="str">
        <f>VLOOKUP($N927,'2 CODIFICATION'!$G$5:$L$71,3,FALSE)</f>
        <v xml:space="preserve">Sous-traitance générale </v>
      </c>
      <c r="R927" s="53" t="str">
        <f>VLOOKUP($N927,'2 CODIFICATION'!$G$5:$L$71,4,FALSE)</f>
        <v>chges</v>
      </c>
      <c r="S927" s="53">
        <f>VLOOKUP($N927,'2 CODIFICATION'!$G$5:$L$71,5,FALSE)</f>
        <v>61</v>
      </c>
      <c r="T927" s="11" t="str">
        <f>VLOOKUP($N927,'2 CODIFICATION'!$G$5:$L$71,6,FALSE)</f>
        <v>Services extérieurs</v>
      </c>
    </row>
    <row r="928" spans="1:20" s="78" customFormat="1" hidden="1">
      <c r="A928" s="78" t="s">
        <v>1004</v>
      </c>
      <c r="B928" s="78" t="s">
        <v>79</v>
      </c>
      <c r="D928" s="1078">
        <v>46022</v>
      </c>
      <c r="E928" s="1103" t="s">
        <v>741</v>
      </c>
      <c r="F928" s="1104"/>
      <c r="G928" s="1105"/>
      <c r="H928" s="1065">
        <v>300</v>
      </c>
      <c r="I928" s="1089">
        <v>-18237.25</v>
      </c>
      <c r="J928" s="84" t="s">
        <v>998</v>
      </c>
      <c r="K928" s="22">
        <f t="shared" si="110"/>
        <v>6110</v>
      </c>
      <c r="L928" s="74" t="str">
        <f>VLOOKUP($J928,'2 CODIFICATION'!A$5:B$21,2,"FAUX")</f>
        <v>PROJET FORAGES</v>
      </c>
      <c r="M928" s="74" t="str">
        <f>VLOOKUP($K928,'2 CODIFICATION'!D$8:E$64,2,"FAUX")</f>
        <v>Sous traitance projet</v>
      </c>
      <c r="N928" s="84">
        <v>611000</v>
      </c>
      <c r="O928" s="206">
        <f t="shared" si="107"/>
        <v>-300</v>
      </c>
      <c r="P928" s="84">
        <f t="shared" si="111"/>
        <v>2025</v>
      </c>
      <c r="Q928" s="11" t="str">
        <f>VLOOKUP($N928,'2 CODIFICATION'!$G$5:$L$71,3,FALSE)</f>
        <v xml:space="preserve">Sous-traitance générale </v>
      </c>
      <c r="R928" s="53" t="str">
        <f>VLOOKUP($N928,'2 CODIFICATION'!$G$5:$L$71,4,FALSE)</f>
        <v>chges</v>
      </c>
      <c r="S928" s="53">
        <f>VLOOKUP($N928,'2 CODIFICATION'!$G$5:$L$71,5,FALSE)</f>
        <v>61</v>
      </c>
      <c r="T928" s="11" t="str">
        <f>VLOOKUP($N928,'2 CODIFICATION'!$G$5:$L$71,6,FALSE)</f>
        <v>Services extérieurs</v>
      </c>
    </row>
    <row r="929" spans="1:23" s="78" customFormat="1" hidden="1">
      <c r="A929" s="78" t="s">
        <v>1004</v>
      </c>
      <c r="B929" s="78" t="s">
        <v>79</v>
      </c>
      <c r="D929" s="1078">
        <v>46022</v>
      </c>
      <c r="E929" s="1106" t="s">
        <v>742</v>
      </c>
      <c r="F929" s="1106"/>
      <c r="G929" s="1107"/>
      <c r="H929" s="1065">
        <v>400</v>
      </c>
      <c r="I929" s="1089">
        <v>-18637.25</v>
      </c>
      <c r="J929" s="84" t="s">
        <v>998</v>
      </c>
      <c r="K929" s="22">
        <f t="shared" si="110"/>
        <v>6110</v>
      </c>
      <c r="L929" s="74" t="str">
        <f>VLOOKUP($J929,'2 CODIFICATION'!A$5:B$21,2,"FAUX")</f>
        <v>PROJET FORAGES</v>
      </c>
      <c r="M929" s="74" t="str">
        <f>VLOOKUP($K929,'2 CODIFICATION'!D$8:E$64,2,"FAUX")</f>
        <v>Sous traitance projet</v>
      </c>
      <c r="N929" s="84">
        <v>611000</v>
      </c>
      <c r="O929" s="206">
        <f t="shared" ref="O929:O949" si="121">G929-H929</f>
        <v>-400</v>
      </c>
      <c r="P929" s="84">
        <f t="shared" si="111"/>
        <v>2025</v>
      </c>
      <c r="Q929" s="11" t="str">
        <f>VLOOKUP($N929,'2 CODIFICATION'!$G$5:$L$71,3,FALSE)</f>
        <v xml:space="preserve">Sous-traitance générale </v>
      </c>
      <c r="R929" s="53" t="str">
        <f>VLOOKUP($N929,'2 CODIFICATION'!$G$5:$L$71,4,FALSE)</f>
        <v>chges</v>
      </c>
      <c r="S929" s="53">
        <f>VLOOKUP($N929,'2 CODIFICATION'!$G$5:$L$71,5,FALSE)</f>
        <v>61</v>
      </c>
      <c r="T929" s="11" t="str">
        <f>VLOOKUP($N929,'2 CODIFICATION'!$G$5:$L$71,6,FALSE)</f>
        <v>Services extérieurs</v>
      </c>
    </row>
    <row r="930" spans="1:23" s="78" customFormat="1" hidden="1">
      <c r="A930" s="78" t="s">
        <v>1004</v>
      </c>
      <c r="B930" s="78" t="s">
        <v>79</v>
      </c>
      <c r="D930" s="1078">
        <v>46022</v>
      </c>
      <c r="E930" s="1091" t="s">
        <v>743</v>
      </c>
      <c r="F930" s="1091"/>
      <c r="G930" s="1092"/>
      <c r="H930" s="1065">
        <v>2750</v>
      </c>
      <c r="I930" s="1089">
        <v>-21387.25</v>
      </c>
      <c r="J930" s="84" t="s">
        <v>998</v>
      </c>
      <c r="K930" s="22">
        <f t="shared" si="110"/>
        <v>6110</v>
      </c>
      <c r="L930" s="74" t="str">
        <f>VLOOKUP($J930,'2 CODIFICATION'!A$5:B$21,2,"FAUX")</f>
        <v>PROJET FORAGES</v>
      </c>
      <c r="M930" s="74" t="str">
        <f>VLOOKUP($K930,'2 CODIFICATION'!D$8:E$64,2,"FAUX")</f>
        <v>Sous traitance projet</v>
      </c>
      <c r="N930" s="84">
        <v>611000</v>
      </c>
      <c r="O930" s="206">
        <f t="shared" si="121"/>
        <v>-2750</v>
      </c>
      <c r="P930" s="84">
        <f t="shared" si="111"/>
        <v>2025</v>
      </c>
      <c r="Q930" s="11" t="str">
        <f>VLOOKUP($N930,'2 CODIFICATION'!$G$5:$L$71,3,FALSE)</f>
        <v xml:space="preserve">Sous-traitance générale </v>
      </c>
      <c r="R930" s="53" t="str">
        <f>VLOOKUP($N930,'2 CODIFICATION'!$G$5:$L$71,4,FALSE)</f>
        <v>chges</v>
      </c>
      <c r="S930" s="53">
        <f>VLOOKUP($N930,'2 CODIFICATION'!$G$5:$L$71,5,FALSE)</f>
        <v>61</v>
      </c>
      <c r="T930" s="11" t="str">
        <f>VLOOKUP($N930,'2 CODIFICATION'!$G$5:$L$71,6,FALSE)</f>
        <v>Services extérieurs</v>
      </c>
    </row>
    <row r="931" spans="1:23" s="78" customFormat="1" ht="26" hidden="1">
      <c r="A931" s="78" t="s">
        <v>1004</v>
      </c>
      <c r="B931" s="78" t="s">
        <v>79</v>
      </c>
      <c r="D931" s="1078">
        <v>46022</v>
      </c>
      <c r="E931" s="1087" t="s">
        <v>767</v>
      </c>
      <c r="F931" s="1108"/>
      <c r="G931" s="1109"/>
      <c r="H931" s="1065">
        <v>8275</v>
      </c>
      <c r="I931" s="1089">
        <v>-29662.25</v>
      </c>
      <c r="J931" s="84" t="s">
        <v>998</v>
      </c>
      <c r="K931" s="22">
        <f t="shared" ref="K931:K949" si="122">+N931/100</f>
        <v>6110</v>
      </c>
      <c r="L931" s="74" t="str">
        <f>VLOOKUP($J931,'2 CODIFICATION'!A$5:B$21,2,"FAUX")</f>
        <v>PROJET FORAGES</v>
      </c>
      <c r="M931" s="74" t="str">
        <f>VLOOKUP($K931,'2 CODIFICATION'!D$8:E$64,2,"FAUX")</f>
        <v>Sous traitance projet</v>
      </c>
      <c r="N931" s="84">
        <v>611000</v>
      </c>
      <c r="O931" s="206">
        <f t="shared" si="121"/>
        <v>-8275</v>
      </c>
      <c r="P931" s="84">
        <f t="shared" si="111"/>
        <v>2025</v>
      </c>
      <c r="Q931" s="11" t="str">
        <f>VLOOKUP($N931,'2 CODIFICATION'!$G$5:$L$71,3,FALSE)</f>
        <v xml:space="preserve">Sous-traitance générale </v>
      </c>
      <c r="R931" s="53" t="str">
        <f>VLOOKUP($N931,'2 CODIFICATION'!$G$5:$L$71,4,FALSE)</f>
        <v>chges</v>
      </c>
      <c r="S931" s="53">
        <f>VLOOKUP($N931,'2 CODIFICATION'!$G$5:$L$71,5,FALSE)</f>
        <v>61</v>
      </c>
      <c r="T931" s="11" t="str">
        <f>VLOOKUP($N931,'2 CODIFICATION'!$G$5:$L$71,6,FALSE)</f>
        <v>Services extérieurs</v>
      </c>
    </row>
    <row r="932" spans="1:23" s="78" customFormat="1" ht="26" hidden="1">
      <c r="A932" s="78" t="s">
        <v>1004</v>
      </c>
      <c r="B932" s="78" t="s">
        <v>79</v>
      </c>
      <c r="D932" s="1078">
        <v>46022</v>
      </c>
      <c r="E932" s="1096" t="s">
        <v>768</v>
      </c>
      <c r="F932" s="1097"/>
      <c r="G932" s="1098"/>
      <c r="H932" s="1065">
        <v>775</v>
      </c>
      <c r="I932" s="1089">
        <v>-30437.25</v>
      </c>
      <c r="J932" s="84" t="s">
        <v>998</v>
      </c>
      <c r="K932" s="22">
        <f t="shared" si="122"/>
        <v>6228</v>
      </c>
      <c r="L932" s="74" t="str">
        <f>VLOOKUP($J932,'2 CODIFICATION'!A$5:B$21,2,"FAUX")</f>
        <v>PROJET FORAGES</v>
      </c>
      <c r="M932" s="74" t="str">
        <f>VLOOKUP($K932,'2 CODIFICATION'!D$8:E$64,2,"FAUX")</f>
        <v>formation</v>
      </c>
      <c r="N932" s="84">
        <v>622800</v>
      </c>
      <c r="O932" s="206">
        <f t="shared" si="121"/>
        <v>-775</v>
      </c>
      <c r="P932" s="84">
        <f t="shared" si="111"/>
        <v>2025</v>
      </c>
      <c r="Q932" s="11" t="str">
        <f>VLOOKUP($N932,'2 CODIFICATION'!$G$5:$L$71,3,FALSE)</f>
        <v>Frais de formation</v>
      </c>
      <c r="R932" s="53" t="str">
        <f>VLOOKUP($N932,'2 CODIFICATION'!$G$5:$L$71,4,FALSE)</f>
        <v>chges</v>
      </c>
      <c r="S932" s="53">
        <f>VLOOKUP($N932,'2 CODIFICATION'!$G$5:$L$71,5,FALSE)</f>
        <v>62</v>
      </c>
      <c r="T932" s="11" t="str">
        <f>VLOOKUP($N932,'2 CODIFICATION'!$G$5:$L$71,6,FALSE)</f>
        <v>Autres services extérieurs</v>
      </c>
    </row>
    <row r="933" spans="1:23" s="78" customFormat="1" ht="37.5" hidden="1">
      <c r="A933" s="78" t="s">
        <v>1004</v>
      </c>
      <c r="B933" s="78" t="s">
        <v>79</v>
      </c>
      <c r="D933" s="1078">
        <v>46022</v>
      </c>
      <c r="E933" s="1110" t="s">
        <v>744</v>
      </c>
      <c r="F933" s="1111"/>
      <c r="G933" s="1112"/>
      <c r="H933" s="1065">
        <v>500</v>
      </c>
      <c r="I933" s="1089">
        <v>-30937.25</v>
      </c>
      <c r="J933" s="84" t="s">
        <v>998</v>
      </c>
      <c r="K933" s="22">
        <f t="shared" si="122"/>
        <v>6228</v>
      </c>
      <c r="L933" s="74" t="str">
        <f>VLOOKUP($J933,'2 CODIFICATION'!A$5:B$21,2,"FAUX")</f>
        <v>PROJET FORAGES</v>
      </c>
      <c r="M933" s="74" t="str">
        <f>VLOOKUP($K933,'2 CODIFICATION'!D$8:E$64,2,"FAUX")</f>
        <v>formation</v>
      </c>
      <c r="N933" s="84">
        <v>622800</v>
      </c>
      <c r="O933" s="206">
        <f t="shared" si="121"/>
        <v>-500</v>
      </c>
      <c r="P933" s="84">
        <f t="shared" si="111"/>
        <v>2025</v>
      </c>
      <c r="Q933" s="11" t="str">
        <f>VLOOKUP($N933,'2 CODIFICATION'!$G$5:$L$71,3,FALSE)</f>
        <v>Frais de formation</v>
      </c>
      <c r="R933" s="53" t="str">
        <f>VLOOKUP($N933,'2 CODIFICATION'!$G$5:$L$71,4,FALSE)</f>
        <v>chges</v>
      </c>
      <c r="S933" s="53">
        <f>VLOOKUP($N933,'2 CODIFICATION'!$G$5:$L$71,5,FALSE)</f>
        <v>62</v>
      </c>
      <c r="T933" s="11" t="str">
        <f>VLOOKUP($N933,'2 CODIFICATION'!$G$5:$L$71,6,FALSE)</f>
        <v>Autres services extérieurs</v>
      </c>
      <c r="W933" s="78">
        <v>6947.45</v>
      </c>
    </row>
    <row r="934" spans="1:23" s="78" customFormat="1" ht="38.5" hidden="1">
      <c r="A934" s="78" t="s">
        <v>1004</v>
      </c>
      <c r="B934" s="78" t="s">
        <v>79</v>
      </c>
      <c r="D934" s="1078">
        <v>46022</v>
      </c>
      <c r="E934" s="1096" t="s">
        <v>745</v>
      </c>
      <c r="F934" s="1097"/>
      <c r="G934" s="1098"/>
      <c r="H934" s="1065">
        <v>1000</v>
      </c>
      <c r="I934" s="1089">
        <v>-31937.25</v>
      </c>
      <c r="J934" s="84" t="s">
        <v>998</v>
      </c>
      <c r="K934" s="22">
        <f t="shared" si="122"/>
        <v>6228</v>
      </c>
      <c r="L934" s="74" t="str">
        <f>VLOOKUP($J934,'2 CODIFICATION'!A$5:B$21,2,"FAUX")</f>
        <v>PROJET FORAGES</v>
      </c>
      <c r="M934" s="74" t="str">
        <f>VLOOKUP($K934,'2 CODIFICATION'!D$8:E$64,2,"FAUX")</f>
        <v>formation</v>
      </c>
      <c r="N934" s="84">
        <v>622800</v>
      </c>
      <c r="O934" s="206">
        <f t="shared" si="121"/>
        <v>-1000</v>
      </c>
      <c r="P934" s="84">
        <f t="shared" ref="P934:P949" si="123">+YEAR(D934)</f>
        <v>2025</v>
      </c>
      <c r="Q934" s="11" t="str">
        <f>VLOOKUP($N934,'2 CODIFICATION'!$G$5:$L$71,3,FALSE)</f>
        <v>Frais de formation</v>
      </c>
      <c r="R934" s="53" t="str">
        <f>VLOOKUP($N934,'2 CODIFICATION'!$G$5:$L$71,4,FALSE)</f>
        <v>chges</v>
      </c>
      <c r="S934" s="53">
        <f>VLOOKUP($N934,'2 CODIFICATION'!$G$5:$L$71,5,FALSE)</f>
        <v>62</v>
      </c>
      <c r="T934" s="11" t="str">
        <f>VLOOKUP($N934,'2 CODIFICATION'!$G$5:$L$71,6,FALSE)</f>
        <v>Autres services extérieurs</v>
      </c>
    </row>
    <row r="935" spans="1:23" s="78" customFormat="1" ht="38.5" hidden="1">
      <c r="A935" s="78" t="s">
        <v>1004</v>
      </c>
      <c r="B935" s="78" t="s">
        <v>79</v>
      </c>
      <c r="D935" s="1078">
        <v>46022</v>
      </c>
      <c r="E935" s="1096" t="s">
        <v>746</v>
      </c>
      <c r="F935" s="1097"/>
      <c r="G935" s="1098"/>
      <c r="H935" s="1065">
        <v>875</v>
      </c>
      <c r="I935" s="1089">
        <v>-32812.25</v>
      </c>
      <c r="J935" s="84" t="s">
        <v>998</v>
      </c>
      <c r="K935" s="22">
        <f t="shared" si="122"/>
        <v>6228</v>
      </c>
      <c r="L935" s="74" t="str">
        <f>VLOOKUP($J935,'2 CODIFICATION'!A$5:B$21,2,"FAUX")</f>
        <v>PROJET FORAGES</v>
      </c>
      <c r="M935" s="74" t="str">
        <f>VLOOKUP($K935,'2 CODIFICATION'!D$8:E$64,2,"FAUX")</f>
        <v>formation</v>
      </c>
      <c r="N935" s="84">
        <v>622800</v>
      </c>
      <c r="O935" s="206">
        <f t="shared" si="121"/>
        <v>-875</v>
      </c>
      <c r="P935" s="84">
        <f t="shared" si="123"/>
        <v>2025</v>
      </c>
      <c r="Q935" s="11" t="str">
        <f>VLOOKUP($N935,'2 CODIFICATION'!$G$5:$L$71,3,FALSE)</f>
        <v>Frais de formation</v>
      </c>
      <c r="R935" s="53" t="str">
        <f>VLOOKUP($N935,'2 CODIFICATION'!$G$5:$L$71,4,FALSE)</f>
        <v>chges</v>
      </c>
      <c r="S935" s="53">
        <f>VLOOKUP($N935,'2 CODIFICATION'!$G$5:$L$71,5,FALSE)</f>
        <v>62</v>
      </c>
      <c r="T935" s="11" t="str">
        <f>VLOOKUP($N935,'2 CODIFICATION'!$G$5:$L$71,6,FALSE)</f>
        <v>Autres services extérieurs</v>
      </c>
      <c r="W935" s="78">
        <v>3500</v>
      </c>
    </row>
    <row r="936" spans="1:23" s="78" customFormat="1" ht="38.5" hidden="1">
      <c r="A936" s="78" t="s">
        <v>1004</v>
      </c>
      <c r="B936" s="78" t="s">
        <v>79</v>
      </c>
      <c r="D936" s="1078">
        <v>46022</v>
      </c>
      <c r="E936" s="1113" t="s">
        <v>747</v>
      </c>
      <c r="F936" s="1114"/>
      <c r="G936" s="1115"/>
      <c r="H936" s="1065">
        <v>300</v>
      </c>
      <c r="I936" s="1089">
        <v>-33112.25</v>
      </c>
      <c r="J936" s="84" t="s">
        <v>998</v>
      </c>
      <c r="K936" s="22">
        <f t="shared" si="122"/>
        <v>6110</v>
      </c>
      <c r="L936" s="74" t="str">
        <f>VLOOKUP($J936,'2 CODIFICATION'!A$5:B$21,2,"FAUX")</f>
        <v>PROJET FORAGES</v>
      </c>
      <c r="M936" s="74" t="str">
        <f>VLOOKUP($K936,'2 CODIFICATION'!D$8:E$64,2,"FAUX")</f>
        <v>Sous traitance projet</v>
      </c>
      <c r="N936" s="84">
        <v>611000</v>
      </c>
      <c r="O936" s="206">
        <f t="shared" si="121"/>
        <v>-300</v>
      </c>
      <c r="P936" s="84">
        <f t="shared" si="123"/>
        <v>2025</v>
      </c>
      <c r="Q936" s="11" t="str">
        <f>VLOOKUP($N936,'2 CODIFICATION'!$G$5:$L$71,3,FALSE)</f>
        <v xml:space="preserve">Sous-traitance générale </v>
      </c>
      <c r="R936" s="53" t="str">
        <f>VLOOKUP($N936,'2 CODIFICATION'!$G$5:$L$71,4,FALSE)</f>
        <v>chges</v>
      </c>
      <c r="S936" s="53">
        <f>VLOOKUP($N936,'2 CODIFICATION'!$G$5:$L$71,5,FALSE)</f>
        <v>61</v>
      </c>
      <c r="T936" s="11" t="str">
        <f>VLOOKUP($N936,'2 CODIFICATION'!$G$5:$L$71,6,FALSE)</f>
        <v>Services extérieurs</v>
      </c>
      <c r="W936" s="78">
        <v>1200</v>
      </c>
    </row>
    <row r="937" spans="1:23" s="78" customFormat="1" hidden="1">
      <c r="A937" s="78" t="s">
        <v>1004</v>
      </c>
      <c r="B937" s="78" t="s">
        <v>79</v>
      </c>
      <c r="D937" s="1078">
        <v>46022</v>
      </c>
      <c r="E937" s="1116" t="s">
        <v>748</v>
      </c>
      <c r="F937" s="1117"/>
      <c r="G937" s="358"/>
      <c r="H937" s="1065">
        <v>75</v>
      </c>
      <c r="I937" s="1089">
        <v>-33187.25</v>
      </c>
      <c r="J937" s="84" t="s">
        <v>998</v>
      </c>
      <c r="K937" s="22">
        <f t="shared" si="122"/>
        <v>6110</v>
      </c>
      <c r="L937" s="74" t="str">
        <f>VLOOKUP($J937,'2 CODIFICATION'!A$5:B$21,2,"FAUX")</f>
        <v>PROJET FORAGES</v>
      </c>
      <c r="M937" s="74" t="str">
        <f>VLOOKUP($K937,'2 CODIFICATION'!D$8:E$64,2,"FAUX")</f>
        <v>Sous traitance projet</v>
      </c>
      <c r="N937" s="84">
        <v>611000</v>
      </c>
      <c r="O937" s="206">
        <f t="shared" si="121"/>
        <v>-75</v>
      </c>
      <c r="P937" s="84">
        <f t="shared" si="123"/>
        <v>2025</v>
      </c>
      <c r="Q937" s="11" t="str">
        <f>VLOOKUP($N937,'2 CODIFICATION'!$G$5:$L$71,3,FALSE)</f>
        <v xml:space="preserve">Sous-traitance générale </v>
      </c>
      <c r="R937" s="53" t="str">
        <f>VLOOKUP($N937,'2 CODIFICATION'!$G$5:$L$71,4,FALSE)</f>
        <v>chges</v>
      </c>
      <c r="S937" s="53">
        <f>VLOOKUP($N937,'2 CODIFICATION'!$G$5:$L$71,5,FALSE)</f>
        <v>61</v>
      </c>
      <c r="T937" s="11" t="str">
        <f>VLOOKUP($N937,'2 CODIFICATION'!$G$5:$L$71,6,FALSE)</f>
        <v>Services extérieurs</v>
      </c>
      <c r="W937" s="78">
        <v>300</v>
      </c>
    </row>
    <row r="938" spans="1:23" s="78" customFormat="1" hidden="1">
      <c r="A938" s="78" t="s">
        <v>1004</v>
      </c>
      <c r="B938" s="78" t="s">
        <v>79</v>
      </c>
      <c r="D938" s="1078">
        <v>46022</v>
      </c>
      <c r="E938" s="1091" t="s">
        <v>749</v>
      </c>
      <c r="F938" s="1091"/>
      <c r="G938" s="1092"/>
      <c r="H938" s="1065">
        <v>1325</v>
      </c>
      <c r="I938" s="1089">
        <v>-34512.25</v>
      </c>
      <c r="J938" s="84" t="s">
        <v>998</v>
      </c>
      <c r="K938" s="22">
        <f t="shared" si="122"/>
        <v>6230</v>
      </c>
      <c r="L938" s="74" t="str">
        <f>VLOOKUP($J938,'2 CODIFICATION'!A$5:B$21,2,"FAUX")</f>
        <v>PROJET FORAGES</v>
      </c>
      <c r="M938" s="74" t="str">
        <f>VLOOKUP($K938,'2 CODIFICATION'!D$8:E$64,2,"FAUX")</f>
        <v>communication</v>
      </c>
      <c r="N938" s="84">
        <v>623000</v>
      </c>
      <c r="O938" s="206">
        <f t="shared" si="121"/>
        <v>-1325</v>
      </c>
      <c r="P938" s="84">
        <f t="shared" si="123"/>
        <v>2025</v>
      </c>
      <c r="Q938" s="11" t="str">
        <f>VLOOKUP($N938,'2 CODIFICATION'!$G$5:$L$71,3,FALSE)</f>
        <v>Publicité, publications, Création de site web</v>
      </c>
      <c r="R938" s="53" t="str">
        <f>VLOOKUP($N938,'2 CODIFICATION'!$G$5:$L$71,4,FALSE)</f>
        <v>chges</v>
      </c>
      <c r="S938" s="53">
        <f>VLOOKUP($N938,'2 CODIFICATION'!$G$5:$L$71,5,FALSE)</f>
        <v>62</v>
      </c>
      <c r="T938" s="11" t="str">
        <f>VLOOKUP($N938,'2 CODIFICATION'!$G$5:$L$71,6,FALSE)</f>
        <v>Autres services extérieurs</v>
      </c>
      <c r="W938" s="78">
        <v>1350</v>
      </c>
    </row>
    <row r="939" spans="1:23" s="78" customFormat="1" hidden="1">
      <c r="A939" s="78" t="s">
        <v>1004</v>
      </c>
      <c r="B939" s="78" t="s">
        <v>79</v>
      </c>
      <c r="D939" s="1078">
        <v>46022</v>
      </c>
      <c r="E939" s="1091" t="s">
        <v>751</v>
      </c>
      <c r="F939" s="1091"/>
      <c r="G939" s="1092"/>
      <c r="H939" s="1065">
        <v>500</v>
      </c>
      <c r="I939" s="1089">
        <v>-35012.25</v>
      </c>
      <c r="J939" s="84" t="s">
        <v>998</v>
      </c>
      <c r="K939" s="22">
        <f t="shared" si="122"/>
        <v>6110</v>
      </c>
      <c r="L939" s="74" t="str">
        <f>VLOOKUP($J939,'2 CODIFICATION'!A$5:B$21,2,"FAUX")</f>
        <v>PROJET FORAGES</v>
      </c>
      <c r="M939" s="74" t="str">
        <f>VLOOKUP($K939,'2 CODIFICATION'!D$8:E$64,2,"FAUX")</f>
        <v>Sous traitance projet</v>
      </c>
      <c r="N939" s="84">
        <v>611000</v>
      </c>
      <c r="O939" s="206">
        <f t="shared" si="121"/>
        <v>-500</v>
      </c>
      <c r="P939" s="84">
        <f t="shared" si="123"/>
        <v>2025</v>
      </c>
      <c r="Q939" s="11" t="str">
        <f>VLOOKUP($N939,'2 CODIFICATION'!$G$5:$L$71,3,FALSE)</f>
        <v xml:space="preserve">Sous-traitance générale </v>
      </c>
      <c r="R939" s="53" t="str">
        <f>VLOOKUP($N939,'2 CODIFICATION'!$G$5:$L$71,4,FALSE)</f>
        <v>chges</v>
      </c>
      <c r="S939" s="53">
        <f>VLOOKUP($N939,'2 CODIFICATION'!$G$5:$L$71,5,FALSE)</f>
        <v>61</v>
      </c>
      <c r="T939" s="11" t="str">
        <f>VLOOKUP($N939,'2 CODIFICATION'!$G$5:$L$71,6,FALSE)</f>
        <v>Services extérieurs</v>
      </c>
      <c r="W939" s="78">
        <v>6350</v>
      </c>
    </row>
    <row r="940" spans="1:23" s="78" customFormat="1" hidden="1">
      <c r="A940" s="78" t="s">
        <v>1004</v>
      </c>
      <c r="B940" s="78" t="s">
        <v>79</v>
      </c>
      <c r="D940" s="1078">
        <v>46022</v>
      </c>
      <c r="E940" s="1118" t="s">
        <v>753</v>
      </c>
      <c r="F940" s="1118"/>
      <c r="G940" s="1119"/>
      <c r="H940" s="1065">
        <v>450</v>
      </c>
      <c r="I940" s="1089">
        <v>-35462.25</v>
      </c>
      <c r="J940" s="84" t="s">
        <v>998</v>
      </c>
      <c r="K940" s="22">
        <f t="shared" si="122"/>
        <v>6110</v>
      </c>
      <c r="L940" s="74" t="str">
        <f>VLOOKUP($J940,'2 CODIFICATION'!A$5:B$21,2,"FAUX")</f>
        <v>PROJET FORAGES</v>
      </c>
      <c r="M940" s="74" t="str">
        <f>VLOOKUP($K940,'2 CODIFICATION'!D$8:E$64,2,"FAUX")</f>
        <v>Sous traitance projet</v>
      </c>
      <c r="N940" s="84">
        <v>611000</v>
      </c>
      <c r="O940" s="206">
        <f t="shared" si="121"/>
        <v>-450</v>
      </c>
      <c r="P940" s="84">
        <f t="shared" si="123"/>
        <v>2025</v>
      </c>
      <c r="Q940" s="11" t="str">
        <f>VLOOKUP($N940,'2 CODIFICATION'!$G$5:$L$71,3,FALSE)</f>
        <v xml:space="preserve">Sous-traitance générale </v>
      </c>
      <c r="R940" s="53" t="str">
        <f>VLOOKUP($N940,'2 CODIFICATION'!$G$5:$L$71,4,FALSE)</f>
        <v>chges</v>
      </c>
      <c r="S940" s="53">
        <f>VLOOKUP($N940,'2 CODIFICATION'!$G$5:$L$71,5,FALSE)</f>
        <v>61</v>
      </c>
      <c r="T940" s="11" t="str">
        <f>VLOOKUP($N940,'2 CODIFICATION'!$G$5:$L$71,6,FALSE)</f>
        <v>Services extérieurs</v>
      </c>
      <c r="W940" s="78">
        <v>597.44999999999982</v>
      </c>
    </row>
    <row r="941" spans="1:23" s="78" customFormat="1" hidden="1">
      <c r="A941" s="78" t="s">
        <v>1004</v>
      </c>
      <c r="B941" s="78" t="s">
        <v>79</v>
      </c>
      <c r="D941" s="1078">
        <v>46022</v>
      </c>
      <c r="E941" s="1120" t="s">
        <v>755</v>
      </c>
      <c r="F941" s="1120"/>
      <c r="G941" s="1121"/>
      <c r="H941" s="1065">
        <v>486.75</v>
      </c>
      <c r="I941" s="1089">
        <v>-35949</v>
      </c>
      <c r="J941" s="84" t="s">
        <v>998</v>
      </c>
      <c r="K941" s="22">
        <f t="shared" si="122"/>
        <v>6110</v>
      </c>
      <c r="L941" s="74" t="str">
        <f>VLOOKUP($J941,'2 CODIFICATION'!A$5:B$21,2,"FAUX")</f>
        <v>PROJET FORAGES</v>
      </c>
      <c r="M941" s="74" t="str">
        <f>VLOOKUP($K941,'2 CODIFICATION'!D$8:E$64,2,"FAUX")</f>
        <v>Sous traitance projet</v>
      </c>
      <c r="N941" s="84">
        <v>611000</v>
      </c>
      <c r="O941" s="206">
        <f t="shared" si="121"/>
        <v>-486.75</v>
      </c>
      <c r="P941" s="84">
        <f t="shared" si="123"/>
        <v>2025</v>
      </c>
      <c r="Q941" s="11" t="str">
        <f>VLOOKUP($N941,'2 CODIFICATION'!$G$5:$L$71,3,FALSE)</f>
        <v xml:space="preserve">Sous-traitance générale </v>
      </c>
      <c r="R941" s="53" t="str">
        <f>VLOOKUP($N941,'2 CODIFICATION'!$G$5:$L$71,4,FALSE)</f>
        <v>chges</v>
      </c>
      <c r="S941" s="53">
        <f>VLOOKUP($N941,'2 CODIFICATION'!$G$5:$L$71,5,FALSE)</f>
        <v>61</v>
      </c>
      <c r="T941" s="11" t="str">
        <f>VLOOKUP($N941,'2 CODIFICATION'!$G$5:$L$71,6,FALSE)</f>
        <v>Services extérieurs</v>
      </c>
    </row>
    <row r="942" spans="1:23" s="78" customFormat="1" hidden="1">
      <c r="A942" s="78" t="s">
        <v>1004</v>
      </c>
      <c r="B942" s="78" t="s">
        <v>79</v>
      </c>
      <c r="D942" s="1078">
        <v>46022</v>
      </c>
      <c r="E942" s="1118" t="s">
        <v>756</v>
      </c>
      <c r="F942" s="1118"/>
      <c r="G942" s="1119"/>
      <c r="H942" s="1065">
        <v>325</v>
      </c>
      <c r="I942" s="1089">
        <v>-36274</v>
      </c>
      <c r="J942" s="84" t="s">
        <v>998</v>
      </c>
      <c r="K942" s="22">
        <f t="shared" si="122"/>
        <v>6110</v>
      </c>
      <c r="L942" s="74" t="str">
        <f>VLOOKUP($J942,'2 CODIFICATION'!A$5:B$21,2,"FAUX")</f>
        <v>PROJET FORAGES</v>
      </c>
      <c r="M942" s="74" t="str">
        <f>VLOOKUP($K942,'2 CODIFICATION'!D$8:E$64,2,"FAUX")</f>
        <v>Sous traitance projet</v>
      </c>
      <c r="N942" s="84">
        <v>611000</v>
      </c>
      <c r="O942" s="206">
        <f t="shared" si="121"/>
        <v>-325</v>
      </c>
      <c r="P942" s="84">
        <f t="shared" si="123"/>
        <v>2025</v>
      </c>
      <c r="Q942" s="11" t="str">
        <f>VLOOKUP($N942,'2 CODIFICATION'!$G$5:$L$71,3,FALSE)</f>
        <v xml:space="preserve">Sous-traitance générale </v>
      </c>
      <c r="R942" s="53" t="str">
        <f>VLOOKUP($N942,'2 CODIFICATION'!$G$5:$L$71,4,FALSE)</f>
        <v>chges</v>
      </c>
      <c r="S942" s="53">
        <f>VLOOKUP($N942,'2 CODIFICATION'!$G$5:$L$71,5,FALSE)</f>
        <v>61</v>
      </c>
      <c r="T942" s="11" t="str">
        <f>VLOOKUP($N942,'2 CODIFICATION'!$G$5:$L$71,6,FALSE)</f>
        <v>Services extérieurs</v>
      </c>
    </row>
    <row r="943" spans="1:23" s="78" customFormat="1" ht="26" hidden="1">
      <c r="A943" s="78" t="s">
        <v>1004</v>
      </c>
      <c r="B943" s="78" t="s">
        <v>79</v>
      </c>
      <c r="D943" s="1078">
        <v>46022</v>
      </c>
      <c r="E943" s="1122" t="s">
        <v>757</v>
      </c>
      <c r="F943" s="1122"/>
      <c r="G943" s="1123"/>
      <c r="H943" s="1065">
        <v>200</v>
      </c>
      <c r="I943" s="1089">
        <v>-36474</v>
      </c>
      <c r="J943" s="84" t="s">
        <v>998</v>
      </c>
      <c r="K943" s="22">
        <f t="shared" si="122"/>
        <v>6110</v>
      </c>
      <c r="L943" s="74" t="str">
        <f>VLOOKUP($J943,'2 CODIFICATION'!A$5:B$21,2,"FAUX")</f>
        <v>PROJET FORAGES</v>
      </c>
      <c r="M943" s="74" t="str">
        <f>VLOOKUP($K943,'2 CODIFICATION'!D$8:E$64,2,"FAUX")</f>
        <v>Sous traitance projet</v>
      </c>
      <c r="N943" s="84">
        <v>611000</v>
      </c>
      <c r="O943" s="206">
        <f t="shared" si="121"/>
        <v>-200</v>
      </c>
      <c r="P943" s="84">
        <f t="shared" si="123"/>
        <v>2025</v>
      </c>
      <c r="Q943" s="11" t="str">
        <f>VLOOKUP($N943,'2 CODIFICATION'!$G$5:$L$71,3,FALSE)</f>
        <v xml:space="preserve">Sous-traitance générale </v>
      </c>
      <c r="R943" s="53" t="str">
        <f>VLOOKUP($N943,'2 CODIFICATION'!$G$5:$L$71,4,FALSE)</f>
        <v>chges</v>
      </c>
      <c r="S943" s="53">
        <f>VLOOKUP($N943,'2 CODIFICATION'!$G$5:$L$71,5,FALSE)</f>
        <v>61</v>
      </c>
      <c r="T943" s="11" t="str">
        <f>VLOOKUP($N943,'2 CODIFICATION'!$G$5:$L$71,6,FALSE)</f>
        <v>Services extérieurs</v>
      </c>
    </row>
    <row r="944" spans="1:23" s="78" customFormat="1" hidden="1">
      <c r="A944" s="78" t="s">
        <v>1004</v>
      </c>
      <c r="B944" s="78" t="s">
        <v>79</v>
      </c>
      <c r="D944" s="1078">
        <v>46022</v>
      </c>
      <c r="E944" s="1124" t="s">
        <v>758</v>
      </c>
      <c r="F944" s="1124"/>
      <c r="G944" s="1125"/>
      <c r="H944" s="1065"/>
      <c r="I944" s="1089">
        <v>-36474</v>
      </c>
      <c r="J944" s="84" t="s">
        <v>998</v>
      </c>
      <c r="K944" s="22">
        <f t="shared" si="122"/>
        <v>8620</v>
      </c>
      <c r="L944" s="74" t="str">
        <f>VLOOKUP($J944,'2 CODIFICATION'!A$5:B$21,2,"FAUX")</f>
        <v>PROJET FORAGES</v>
      </c>
      <c r="M944" s="74" t="str">
        <f>VLOOKUP($K944,'2 CODIFICATION'!D$8:E$64,2,"FAUX")</f>
        <v>Prestations</v>
      </c>
      <c r="N944" s="84">
        <v>862000</v>
      </c>
      <c r="O944" s="206">
        <f t="shared" si="121"/>
        <v>0</v>
      </c>
      <c r="P944" s="84">
        <f t="shared" si="123"/>
        <v>2025</v>
      </c>
      <c r="Q944" s="11" t="str">
        <f>VLOOKUP($N944,'2 CODIFICATION'!$G$5:$L$71,3,FALSE)</f>
        <v>Prestations</v>
      </c>
      <c r="R944" s="53" t="str">
        <f>VLOOKUP($N944,'2 CODIFICATION'!$G$5:$L$71,4,FALSE)</f>
        <v>chges</v>
      </c>
      <c r="S944" s="53">
        <f>VLOOKUP($N944,'2 CODIFICATION'!$G$5:$L$71,5,FALSE)</f>
        <v>86</v>
      </c>
      <c r="T944" s="11" t="str">
        <f>VLOOKUP($N944,'2 CODIFICATION'!$G$5:$L$71,6,FALSE)</f>
        <v>Emplois des contributions volontaires</v>
      </c>
    </row>
    <row r="945" spans="1:20" s="78" customFormat="1" hidden="1">
      <c r="A945" s="78" t="s">
        <v>1004</v>
      </c>
      <c r="B945" s="78" t="s">
        <v>79</v>
      </c>
      <c r="D945" s="1078">
        <v>46022</v>
      </c>
      <c r="E945" s="1126" t="s">
        <v>734</v>
      </c>
      <c r="F945" s="1127"/>
      <c r="G945" s="1128"/>
      <c r="H945" s="1065"/>
      <c r="I945" s="1089">
        <v>-36474</v>
      </c>
      <c r="J945" s="84" t="s">
        <v>998</v>
      </c>
      <c r="K945" s="22">
        <f t="shared" si="122"/>
        <v>7770</v>
      </c>
      <c r="L945" s="74" t="str">
        <f>VLOOKUP($J945,'2 CODIFICATION'!A$5:B$21,2,"FAUX")</f>
        <v>PROJET FORAGES</v>
      </c>
      <c r="M945" s="74" t="str">
        <f>VLOOKUP($K945,'2 CODIFICATION'!D$8:E$64,2,"FAUX")</f>
        <v>Produits exceptionnels</v>
      </c>
      <c r="N945" s="84">
        <v>777000</v>
      </c>
      <c r="O945" s="206">
        <f t="shared" si="121"/>
        <v>0</v>
      </c>
      <c r="P945" s="84">
        <f t="shared" si="123"/>
        <v>2025</v>
      </c>
      <c r="Q945" s="11" t="str">
        <f>VLOOKUP($N945,'2 CODIFICATION'!$G$5:$L$71,3,FALSE)</f>
        <v>Produits exceptionnels</v>
      </c>
      <c r="R945" s="53" t="str">
        <f>VLOOKUP($N945,'2 CODIFICATION'!$G$5:$L$71,4,FALSE)</f>
        <v>pdts</v>
      </c>
      <c r="S945" s="53">
        <f>VLOOKUP($N945,'2 CODIFICATION'!$G$5:$L$71,5,FALSE)</f>
        <v>77</v>
      </c>
      <c r="T945" s="11" t="str">
        <f>VLOOKUP($N945,'2 CODIFICATION'!$G$5:$L$71,6,FALSE)</f>
        <v>Produits exceptionnels</v>
      </c>
    </row>
    <row r="946" spans="1:20" s="78" customFormat="1" hidden="1">
      <c r="A946" s="78" t="s">
        <v>1004</v>
      </c>
      <c r="B946" s="78" t="s">
        <v>79</v>
      </c>
      <c r="D946" s="1078">
        <v>46022</v>
      </c>
      <c r="E946" s="1130" t="s">
        <v>750</v>
      </c>
      <c r="F946" s="1131"/>
      <c r="G946" s="1065"/>
      <c r="H946" s="1129"/>
      <c r="I946" s="1089">
        <v>-23974</v>
      </c>
      <c r="J946" s="84" t="s">
        <v>998</v>
      </c>
      <c r="K946" s="22">
        <f t="shared" si="122"/>
        <v>7440</v>
      </c>
      <c r="L946" s="74" t="str">
        <f>VLOOKUP($J946,'2 CODIFICATION'!A$5:B$21,2,"FAUX")</f>
        <v>PROJET FORAGES</v>
      </c>
      <c r="M946" s="74" t="str">
        <f>VLOOKUP($K946,'2 CODIFICATION'!D$8:E$64,2,"FAUX")</f>
        <v>Subvention Bx Métropole</v>
      </c>
      <c r="N946" s="84">
        <v>744000</v>
      </c>
      <c r="O946" s="206">
        <f t="shared" si="121"/>
        <v>0</v>
      </c>
      <c r="P946" s="84">
        <f t="shared" si="123"/>
        <v>2025</v>
      </c>
      <c r="Q946" s="11" t="str">
        <f>VLOOKUP($N946,'2 CODIFICATION'!$G$5:$L$71,3,FALSE)</f>
        <v>Subvention Bx Métropole</v>
      </c>
      <c r="R946" s="53" t="str">
        <f>VLOOKUP($N946,'2 CODIFICATION'!$G$5:$L$71,4,FALSE)</f>
        <v>pdts</v>
      </c>
      <c r="S946" s="53">
        <f>VLOOKUP($N946,'2 CODIFICATION'!$G$5:$L$71,5,FALSE)</f>
        <v>74</v>
      </c>
      <c r="T946" s="11" t="str">
        <f>VLOOKUP($N946,'2 CODIFICATION'!$G$5:$L$71,6,FALSE)</f>
        <v>Subventions d'exploitation</v>
      </c>
    </row>
    <row r="947" spans="1:20" s="78" customFormat="1" hidden="1">
      <c r="A947" s="78" t="s">
        <v>1004</v>
      </c>
      <c r="B947" s="78" t="s">
        <v>79</v>
      </c>
      <c r="D947" s="1078">
        <v>46022</v>
      </c>
      <c r="E947" s="1132" t="s">
        <v>752</v>
      </c>
      <c r="F947" s="1133"/>
      <c r="G947" s="1065">
        <f>18250-27000+12500</f>
        <v>3750</v>
      </c>
      <c r="H947" s="1129"/>
      <c r="I947" s="1089">
        <v>-5724</v>
      </c>
      <c r="J947" s="84" t="s">
        <v>998</v>
      </c>
      <c r="K947" s="22">
        <f t="shared" si="122"/>
        <v>7430</v>
      </c>
      <c r="L947" s="74" t="str">
        <f>VLOOKUP($J947,'2 CODIFICATION'!A$5:B$21,2,"FAUX")</f>
        <v>PROJET FORAGES</v>
      </c>
      <c r="M947" s="74" t="str">
        <f>VLOOKUP($K947,'2 CODIFICATION'!D$8:E$64,2,"FAUX")</f>
        <v>Subvention Agence Adour Garonne</v>
      </c>
      <c r="N947" s="84">
        <v>743000</v>
      </c>
      <c r="O947" s="206">
        <f t="shared" si="121"/>
        <v>3750</v>
      </c>
      <c r="P947" s="84">
        <f t="shared" si="123"/>
        <v>2025</v>
      </c>
      <c r="Q947" s="11" t="str">
        <f>VLOOKUP($N947,'2 CODIFICATION'!$G$5:$L$71,3,FALSE)</f>
        <v>subvention Agence Adour Garonne</v>
      </c>
      <c r="R947" s="53" t="str">
        <f>VLOOKUP($N947,'2 CODIFICATION'!$G$5:$L$71,4,FALSE)</f>
        <v>pdts</v>
      </c>
      <c r="S947" s="53">
        <f>VLOOKUP($N947,'2 CODIFICATION'!$G$5:$L$71,5,FALSE)</f>
        <v>74</v>
      </c>
      <c r="T947" s="11" t="str">
        <f>VLOOKUP($N947,'2 CODIFICATION'!$G$5:$L$71,6,FALSE)</f>
        <v>Subventions d'exploitation</v>
      </c>
    </row>
    <row r="948" spans="1:20" s="78" customFormat="1" hidden="1">
      <c r="A948" s="78" t="s">
        <v>1004</v>
      </c>
      <c r="B948" s="78" t="s">
        <v>79</v>
      </c>
      <c r="D948" s="1078">
        <v>46022</v>
      </c>
      <c r="E948" s="1134" t="s">
        <v>754</v>
      </c>
      <c r="F948" s="1135"/>
      <c r="G948" s="1065">
        <v>2074</v>
      </c>
      <c r="H948" s="1129"/>
      <c r="I948" s="1089">
        <v>-3650</v>
      </c>
      <c r="J948" s="84" t="s">
        <v>998</v>
      </c>
      <c r="K948" s="22">
        <f t="shared" si="122"/>
        <v>7450</v>
      </c>
      <c r="L948" s="74" t="str">
        <f>VLOOKUP($J948,'2 CODIFICATION'!A$5:B$21,2,"FAUX")</f>
        <v>PROJET FORAGES</v>
      </c>
      <c r="M948" s="74" t="str">
        <f>VLOOKUP($K948,'2 CODIFICATION'!D$8:E$64,2,"FAUX")</f>
        <v>Subv Aglo de Brive / Valorem</v>
      </c>
      <c r="N948" s="84">
        <v>745000</v>
      </c>
      <c r="O948" s="206">
        <f t="shared" si="121"/>
        <v>2074</v>
      </c>
      <c r="P948" s="84">
        <f t="shared" si="123"/>
        <v>2025</v>
      </c>
      <c r="Q948" s="11" t="str">
        <f>VLOOKUP($N948,'2 CODIFICATION'!$G$5:$L$71,3,FALSE)</f>
        <v>Subv Aglo de Brive / Valorem</v>
      </c>
      <c r="R948" s="53" t="str">
        <f>VLOOKUP($N948,'2 CODIFICATION'!$G$5:$L$71,4,FALSE)</f>
        <v>pdts</v>
      </c>
      <c r="S948" s="53">
        <f>VLOOKUP($N948,'2 CODIFICATION'!$G$5:$L$71,5,FALSE)</f>
        <v>74</v>
      </c>
      <c r="T948" s="11" t="str">
        <f>VLOOKUP($N948,'2 CODIFICATION'!$G$5:$L$71,6,FALSE)</f>
        <v>Subventions d'exploitation</v>
      </c>
    </row>
    <row r="949" spans="1:20" s="78" customFormat="1" hidden="1">
      <c r="A949" s="78" t="s">
        <v>1004</v>
      </c>
      <c r="B949" s="78" t="s">
        <v>79</v>
      </c>
      <c r="D949" s="1078">
        <v>46022</v>
      </c>
      <c r="E949" s="1136" t="s">
        <v>878</v>
      </c>
      <c r="F949" s="1137"/>
      <c r="G949" s="1065">
        <v>1825</v>
      </c>
      <c r="H949" s="1129"/>
      <c r="I949" s="1089">
        <v>-1825</v>
      </c>
      <c r="J949" s="84" t="s">
        <v>998</v>
      </c>
      <c r="K949" s="22">
        <f t="shared" si="122"/>
        <v>8710</v>
      </c>
      <c r="L949" s="74" t="str">
        <f>VLOOKUP($J949,'2 CODIFICATION'!A$5:B$21,2,"FAUX")</f>
        <v>PROJET FORAGES</v>
      </c>
      <c r="M949" s="74" t="str">
        <f>VLOOKUP($K949,'2 CODIFICATION'!D$8:E$64,2,"FAUX")</f>
        <v>Prestations en nature</v>
      </c>
      <c r="N949" s="84">
        <v>871000</v>
      </c>
      <c r="O949" s="206">
        <f t="shared" si="121"/>
        <v>1825</v>
      </c>
      <c r="P949" s="84">
        <f t="shared" si="123"/>
        <v>2025</v>
      </c>
      <c r="Q949" s="11" t="str">
        <f>VLOOKUP($N949,'2 CODIFICATION'!$G$5:$L$71,3,FALSE)</f>
        <v>Prestations en nature</v>
      </c>
      <c r="R949" s="53" t="str">
        <f>VLOOKUP($N949,'2 CODIFICATION'!$G$5:$L$71,4,FALSE)</f>
        <v>pdts</v>
      </c>
      <c r="S949" s="53">
        <f>VLOOKUP($N949,'2 CODIFICATION'!$G$5:$L$71,5,FALSE)</f>
        <v>87</v>
      </c>
      <c r="T949" s="11" t="str">
        <f>VLOOKUP($N949,'2 CODIFICATION'!$G$5:$L$71,6,FALSE)</f>
        <v>Contributions volontaires</v>
      </c>
    </row>
  </sheetData>
  <autoFilter ref="A9:T949">
    <filterColumn colId="0">
      <filters>
        <filter val="B1 2025"/>
      </filters>
    </filterColumn>
    <filterColumn colId="6">
      <filters blank="1">
        <filter val="0,34"/>
        <filter val="0,47"/>
        <filter val="1 000,00"/>
        <filter val="1 060,76"/>
        <filter val="1 083,99"/>
        <filter val="1 200,00"/>
        <filter val="-1 244,89"/>
        <filter val="1 320,00"/>
        <filter val="1 333,00"/>
        <filter val="1 500,00"/>
        <filter val="1 800,00"/>
        <filter val="1 825,00"/>
        <filter val="1 827,72"/>
        <filter val="10 000,00"/>
        <filter val="10,00"/>
        <filter val="100,00"/>
        <filter val="110,00"/>
        <filter val="116,10"/>
        <filter val="117,05"/>
        <filter val="12 500,00"/>
        <filter val="124,55"/>
        <filter val="13 082,00"/>
        <filter val="14 960,00"/>
        <filter val="140,00"/>
        <filter val="15 000,00"/>
        <filter val="15,00"/>
        <filter val="150,00"/>
        <filter val="158,46"/>
        <filter val="16 344,00"/>
        <filter val="169,39"/>
        <filter val="18 250,00"/>
        <filter val="180,00"/>
        <filter val="192,94"/>
        <filter val="2 045,00"/>
        <filter val="2 074,00"/>
        <filter val="-2 100,00"/>
        <filter val="2 154,07"/>
        <filter val="2 644,16"/>
        <filter val="2 783,34"/>
        <filter val="20,00"/>
        <filter val="200,00"/>
        <filter val="210,00"/>
        <filter val="23,20"/>
        <filter val="24,00"/>
        <filter val="240,00"/>
        <filter val="25,00"/>
        <filter val="250,00"/>
        <filter val="26 973,24"/>
        <filter val="260,00"/>
        <filter val="27 000,00"/>
        <filter val="290,00"/>
        <filter val="3 000,00"/>
        <filter val="3 333,00"/>
        <filter val="-3 460,81"/>
        <filter val="30,00"/>
        <filter val="300,00"/>
        <filter val="306,09"/>
        <filter val="310,00"/>
        <filter val="315,00"/>
        <filter val="320,00"/>
        <filter val="338,29"/>
        <filter val="35,00"/>
        <filter val="350,00"/>
        <filter val="36,00"/>
        <filter val="38 152,80"/>
        <filter val="380,00"/>
        <filter val="4 000,00"/>
        <filter val="4 530,22"/>
        <filter val="40,00"/>
        <filter val="400,00"/>
        <filter val="434,78"/>
        <filter val="45,00"/>
        <filter val="467,20"/>
        <filter val="5 000,00"/>
        <filter val="5 020,00"/>
        <filter val="5 500,00"/>
        <filter val="50,00"/>
        <filter val="500,00"/>
        <filter val="55,40"/>
        <filter val="599,00"/>
        <filter val="6 000,00"/>
        <filter val="6 602,00"/>
        <filter val="6 667,00"/>
        <filter val="60,00"/>
        <filter val="64,00"/>
        <filter val="65,00"/>
        <filter val="667,00"/>
        <filter val="70,00"/>
        <filter val="700,00"/>
        <filter val="740,26"/>
        <filter val="8 320,00"/>
        <filter val="8 440,00"/>
        <filter val="80,00"/>
        <filter val="800,00"/>
        <filter val="810,00"/>
        <filter val="825,00"/>
        <filter val="9 000,00"/>
        <filter val="90,00"/>
        <filter val="912,50"/>
        <filter val="917,00"/>
        <filter val="98,06"/>
        <filter val="99,18"/>
      </filters>
    </filterColumn>
    <filterColumn colId="9">
      <filters>
        <filter val="ADM"/>
      </filters>
    </filterColumn>
  </autoFilter>
  <sortState ref="A677:W855">
    <sortCondition ref="D677:D855"/>
  </sortState>
  <pageMargins left="0.75" right="0.75" top="1" bottom="1" header="0.5" footer="0.5"/>
  <pageSetup paperSize="9" scale="71" orientation="portrait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topLeftCell="A112" workbookViewId="0">
      <selection activeCell="A129" sqref="A129"/>
    </sheetView>
  </sheetViews>
  <sheetFormatPr baseColWidth="10" defaultColWidth="8" defaultRowHeight="14.5"/>
  <cols>
    <col min="1" max="1" width="12.5" style="426" customWidth="1"/>
    <col min="2" max="2" width="53.1640625" style="426" customWidth="1"/>
    <col min="3" max="3" width="15.58203125" style="426" customWidth="1"/>
    <col min="4" max="4" width="10.9140625" style="426" customWidth="1"/>
    <col min="5" max="5" width="13.08203125" style="551" customWidth="1"/>
    <col min="6" max="6" width="29.83203125" style="426" customWidth="1"/>
    <col min="7" max="7" width="8.4140625" style="426" bestFit="1" customWidth="1"/>
    <col min="8" max="8" width="8" style="426"/>
    <col min="9" max="9" width="9.4140625" style="426" customWidth="1"/>
    <col min="10" max="16384" width="8" style="426"/>
  </cols>
  <sheetData>
    <row r="1" spans="1:3" ht="25">
      <c r="A1" s="425" t="s">
        <v>596</v>
      </c>
    </row>
    <row r="3" spans="1:3" ht="15" thickBot="1"/>
    <row r="4" spans="1:3" ht="20.5" thickBot="1">
      <c r="A4" s="531" t="s">
        <v>517</v>
      </c>
      <c r="B4" s="532"/>
      <c r="C4" s="533"/>
    </row>
    <row r="5" spans="1:3" ht="20.5" thickBot="1">
      <c r="A5" s="534" t="s">
        <v>518</v>
      </c>
      <c r="B5" s="535"/>
      <c r="C5" s="530">
        <f>+C6+C7</f>
        <v>5249.05</v>
      </c>
    </row>
    <row r="6" spans="1:3">
      <c r="A6" s="536"/>
      <c r="B6" s="535"/>
      <c r="C6" s="537">
        <v>15</v>
      </c>
    </row>
    <row r="7" spans="1:3" ht="16" thickBot="1">
      <c r="A7" s="538"/>
      <c r="B7" s="539" t="s">
        <v>597</v>
      </c>
      <c r="C7" s="540">
        <v>5234.05</v>
      </c>
    </row>
    <row r="8" spans="1:3">
      <c r="B8" s="426" t="s">
        <v>630</v>
      </c>
      <c r="C8" s="426">
        <v>50</v>
      </c>
    </row>
    <row r="9" spans="1:3">
      <c r="C9" s="552">
        <f>+C7+C8</f>
        <v>5284.05</v>
      </c>
    </row>
    <row r="11" spans="1:3">
      <c r="C11" s="551">
        <f>'3 COMPTA'!F8</f>
        <v>11230.994000000001</v>
      </c>
    </row>
    <row r="12" spans="1:3">
      <c r="C12" s="552">
        <f>C5-C11</f>
        <v>-5981.9440000000004</v>
      </c>
    </row>
    <row r="15" spans="1:3" ht="15" thickBot="1"/>
    <row r="16" spans="1:3" ht="20.5" thickBot="1">
      <c r="A16" s="531" t="s">
        <v>517</v>
      </c>
      <c r="B16" s="532"/>
      <c r="C16" s="533"/>
    </row>
    <row r="17" spans="1:9" ht="20.5" thickBot="1">
      <c r="A17" s="534" t="s">
        <v>518</v>
      </c>
      <c r="B17" s="535"/>
      <c r="C17" s="530">
        <v>1069.4100000000001</v>
      </c>
    </row>
    <row r="18" spans="1:9">
      <c r="A18" s="536"/>
      <c r="B18" s="535"/>
      <c r="C18" s="537">
        <v>15</v>
      </c>
    </row>
    <row r="19" spans="1:9" ht="16" thickBot="1">
      <c r="A19" s="538"/>
      <c r="B19" s="539" t="s">
        <v>641</v>
      </c>
      <c r="C19" s="540">
        <f>+C17+C18</f>
        <v>1084.4100000000001</v>
      </c>
    </row>
    <row r="20" spans="1:9" ht="15" thickBot="1"/>
    <row r="21" spans="1:9">
      <c r="C21" s="577" t="s">
        <v>643</v>
      </c>
      <c r="D21" s="532" t="s">
        <v>644</v>
      </c>
      <c r="E21" s="1302"/>
      <c r="F21" s="532"/>
      <c r="G21" s="533"/>
      <c r="I21" s="426" t="s">
        <v>649</v>
      </c>
    </row>
    <row r="22" spans="1:9">
      <c r="C22" s="578">
        <v>420</v>
      </c>
      <c r="D22" s="535">
        <v>392</v>
      </c>
      <c r="E22" s="1238">
        <v>80</v>
      </c>
      <c r="F22" s="535">
        <v>25</v>
      </c>
      <c r="G22" s="537">
        <f>+F22+E22+D22+C22</f>
        <v>917</v>
      </c>
      <c r="I22" s="426">
        <v>641</v>
      </c>
    </row>
    <row r="23" spans="1:9">
      <c r="C23" s="578">
        <v>420</v>
      </c>
      <c r="D23" s="535">
        <v>392</v>
      </c>
      <c r="E23" s="1238">
        <v>80</v>
      </c>
      <c r="F23" s="535">
        <v>25</v>
      </c>
      <c r="G23" s="537">
        <f>+F23+E23+D23+C23</f>
        <v>917</v>
      </c>
      <c r="I23" s="426">
        <v>641</v>
      </c>
    </row>
    <row r="24" spans="1:9">
      <c r="C24" s="578">
        <v>420</v>
      </c>
      <c r="D24" s="535">
        <v>392</v>
      </c>
      <c r="E24" s="1238">
        <v>80</v>
      </c>
      <c r="F24" s="535">
        <v>25</v>
      </c>
      <c r="G24" s="537">
        <f>+F24+E24+D24+C24</f>
        <v>917</v>
      </c>
    </row>
    <row r="25" spans="1:9">
      <c r="C25" s="578"/>
      <c r="D25" s="535"/>
      <c r="E25" s="1238"/>
      <c r="F25" s="535"/>
      <c r="G25" s="537"/>
    </row>
    <row r="26" spans="1:9">
      <c r="C26" s="578"/>
      <c r="D26" s="535"/>
      <c r="E26" s="1238"/>
      <c r="F26" s="535"/>
      <c r="G26" s="537"/>
      <c r="H26" s="426">
        <v>73.260000000000005</v>
      </c>
    </row>
    <row r="27" spans="1:9" ht="15" thickBot="1">
      <c r="C27" s="579">
        <f t="shared" ref="C27:I27" si="0">SUM(C22:C26)</f>
        <v>1260</v>
      </c>
      <c r="D27" s="580">
        <f t="shared" si="0"/>
        <v>1176</v>
      </c>
      <c r="E27" s="1303">
        <f t="shared" si="0"/>
        <v>240</v>
      </c>
      <c r="F27" s="580">
        <f t="shared" si="0"/>
        <v>75</v>
      </c>
      <c r="G27" s="581">
        <f t="shared" si="0"/>
        <v>2751</v>
      </c>
      <c r="H27" s="552">
        <f t="shared" si="0"/>
        <v>73.260000000000005</v>
      </c>
      <c r="I27" s="552">
        <f t="shared" si="0"/>
        <v>1282</v>
      </c>
    </row>
    <row r="28" spans="1:9">
      <c r="G28" s="576">
        <v>3972</v>
      </c>
    </row>
    <row r="29" spans="1:9">
      <c r="E29" s="551">
        <v>3972</v>
      </c>
      <c r="G29" s="552">
        <f>+G28-G27</f>
        <v>1221</v>
      </c>
      <c r="I29" s="552">
        <f>I27-G29</f>
        <v>61</v>
      </c>
    </row>
    <row r="32" spans="1:9" ht="25">
      <c r="A32" s="840" t="s">
        <v>810</v>
      </c>
      <c r="B32"/>
      <c r="C32"/>
    </row>
    <row r="33" spans="1:3" ht="15.5">
      <c r="A33"/>
      <c r="B33"/>
      <c r="C33"/>
    </row>
    <row r="34" spans="1:3" ht="15.5">
      <c r="A34"/>
      <c r="B34"/>
      <c r="C34"/>
    </row>
    <row r="35" spans="1:3" ht="20">
      <c r="A35" s="841" t="s">
        <v>517</v>
      </c>
      <c r="B35"/>
      <c r="C35"/>
    </row>
    <row r="36" spans="1:3" ht="20">
      <c r="A36" s="841" t="s">
        <v>518</v>
      </c>
      <c r="B36"/>
      <c r="C36"/>
    </row>
    <row r="37" spans="1:3" ht="15.5">
      <c r="A37"/>
      <c r="B37"/>
      <c r="C37"/>
    </row>
    <row r="38" spans="1:3" ht="15.5">
      <c r="A38"/>
      <c r="B38" s="842" t="s">
        <v>811</v>
      </c>
      <c r="C38" s="843">
        <v>1032.98</v>
      </c>
    </row>
    <row r="39" spans="1:3">
      <c r="C39" s="537">
        <v>15</v>
      </c>
    </row>
    <row r="40" spans="1:3" ht="16" thickBot="1">
      <c r="C40" s="540">
        <f>+C38+C39</f>
        <v>1047.98</v>
      </c>
    </row>
    <row r="44" spans="1:3" ht="15" thickBot="1"/>
    <row r="45" spans="1:3" ht="25">
      <c r="A45" s="890" t="s">
        <v>839</v>
      </c>
      <c r="B45" s="891"/>
      <c r="C45" s="892"/>
    </row>
    <row r="46" spans="1:3" ht="15.5">
      <c r="A46" s="893"/>
      <c r="B46" s="177"/>
      <c r="C46" s="894"/>
    </row>
    <row r="47" spans="1:3" ht="15.5">
      <c r="A47" s="893"/>
      <c r="B47" s="177"/>
      <c r="C47" s="894"/>
    </row>
    <row r="48" spans="1:3" ht="20">
      <c r="A48" s="895" t="s">
        <v>517</v>
      </c>
      <c r="B48" s="177"/>
      <c r="C48" s="894"/>
    </row>
    <row r="49" spans="1:5" ht="20">
      <c r="A49" s="895" t="s">
        <v>518</v>
      </c>
      <c r="B49" s="177"/>
      <c r="C49" s="894"/>
    </row>
    <row r="50" spans="1:5" ht="15.5">
      <c r="A50" s="893"/>
      <c r="B50" s="177"/>
      <c r="C50" s="894"/>
    </row>
    <row r="51" spans="1:5" ht="15.5">
      <c r="A51" s="893"/>
      <c r="B51" s="896" t="s">
        <v>840</v>
      </c>
      <c r="C51" s="897" t="s">
        <v>841</v>
      </c>
    </row>
    <row r="52" spans="1:5">
      <c r="A52" s="536"/>
      <c r="B52" s="535"/>
      <c r="C52" s="537">
        <v>15</v>
      </c>
    </row>
    <row r="53" spans="1:5" ht="16" thickBot="1">
      <c r="A53" s="538"/>
      <c r="B53" s="898"/>
      <c r="C53" s="540">
        <f>+C51+C52</f>
        <v>968.02</v>
      </c>
    </row>
    <row r="55" spans="1:5">
      <c r="B55" s="426" t="s">
        <v>860</v>
      </c>
      <c r="C55" s="426">
        <v>-169.4</v>
      </c>
    </row>
    <row r="56" spans="1:5">
      <c r="B56" s="426" t="s">
        <v>861</v>
      </c>
      <c r="C56" s="551">
        <f>-SUM(D57:D61)</f>
        <v>-1658.33</v>
      </c>
    </row>
    <row r="57" spans="1:5" ht="15.5">
      <c r="A57" s="968">
        <v>45075</v>
      </c>
      <c r="B57" s="969" t="s">
        <v>862</v>
      </c>
      <c r="C57" s="969"/>
      <c r="D57" s="551">
        <v>685.27</v>
      </c>
      <c r="E57" s="551" t="s">
        <v>863</v>
      </c>
    </row>
    <row r="58" spans="1:5" ht="15.5">
      <c r="A58" s="968">
        <v>45075</v>
      </c>
      <c r="B58" s="969" t="s">
        <v>864</v>
      </c>
      <c r="C58" s="969"/>
      <c r="D58" s="551">
        <v>81.06</v>
      </c>
      <c r="E58" s="551" t="s">
        <v>865</v>
      </c>
    </row>
    <row r="59" spans="1:5" ht="15.5">
      <c r="A59" s="968">
        <v>45273</v>
      </c>
      <c r="B59" s="969" t="s">
        <v>866</v>
      </c>
      <c r="C59" s="969"/>
      <c r="D59" s="551">
        <v>420</v>
      </c>
      <c r="E59" s="551" t="s">
        <v>865</v>
      </c>
    </row>
    <row r="60" spans="1:5" ht="15.5">
      <c r="A60" s="968">
        <v>45273</v>
      </c>
      <c r="B60" s="969" t="s">
        <v>644</v>
      </c>
      <c r="C60" s="969"/>
      <c r="D60" s="551">
        <v>392</v>
      </c>
      <c r="E60" s="551" t="s">
        <v>867</v>
      </c>
    </row>
    <row r="61" spans="1:5" ht="16" thickBot="1">
      <c r="A61" s="970">
        <v>45271</v>
      </c>
      <c r="B61" s="971" t="s">
        <v>868</v>
      </c>
      <c r="C61" s="971"/>
      <c r="D61" s="551">
        <v>80</v>
      </c>
      <c r="E61" s="551" t="s">
        <v>867</v>
      </c>
    </row>
    <row r="62" spans="1:5">
      <c r="D62" s="1239">
        <v>5020</v>
      </c>
      <c r="E62" s="551" t="s">
        <v>965</v>
      </c>
    </row>
    <row r="63" spans="1:5">
      <c r="D63" s="551">
        <f>SUM(D57:D62)</f>
        <v>6678.33</v>
      </c>
    </row>
    <row r="64" spans="1:5">
      <c r="C64" s="552">
        <f>SUM(C53:C63)</f>
        <v>-859.70999999999992</v>
      </c>
    </row>
    <row r="67" spans="1:4" ht="20">
      <c r="A67" s="974" t="s">
        <v>517</v>
      </c>
      <c r="B67"/>
      <c r="C67"/>
      <c r="D67"/>
    </row>
    <row r="68" spans="1:4" ht="20">
      <c r="A68" s="974" t="s">
        <v>518</v>
      </c>
      <c r="B68"/>
      <c r="C68"/>
      <c r="D68"/>
    </row>
    <row r="69" spans="1:4" ht="15.5">
      <c r="A69"/>
      <c r="B69"/>
      <c r="C69"/>
      <c r="D69"/>
    </row>
    <row r="70" spans="1:4" ht="15.5">
      <c r="A70" s="1359"/>
      <c r="B70" s="1371" t="s">
        <v>869</v>
      </c>
      <c r="C70" s="1371">
        <v>829.56</v>
      </c>
      <c r="D70"/>
    </row>
    <row r="71" spans="1:4" ht="15.5">
      <c r="A71" s="1359"/>
      <c r="B71" s="1359"/>
      <c r="C71" s="1372">
        <v>15</v>
      </c>
      <c r="D71"/>
    </row>
    <row r="72" spans="1:4">
      <c r="A72" s="1361"/>
      <c r="B72" s="1361"/>
      <c r="C72" s="1361"/>
    </row>
    <row r="73" spans="1:4">
      <c r="A73" s="1361"/>
      <c r="B73" s="1361"/>
      <c r="C73" s="1361"/>
    </row>
    <row r="74" spans="1:4">
      <c r="A74" s="1361"/>
      <c r="B74" s="1361"/>
      <c r="C74" s="1361">
        <f>SUM(C70:C72)</f>
        <v>844.56</v>
      </c>
    </row>
    <row r="75" spans="1:4">
      <c r="A75" s="1361"/>
      <c r="B75" s="1361"/>
      <c r="C75" s="1373">
        <v>844.56000000000495</v>
      </c>
    </row>
    <row r="76" spans="1:4">
      <c r="A76" s="1361"/>
      <c r="B76" s="1361"/>
      <c r="C76" s="1366">
        <f>C74-C75</f>
        <v>-5.0022208597511053E-12</v>
      </c>
    </row>
    <row r="77" spans="1:4">
      <c r="A77" s="1361"/>
      <c r="B77" s="1361"/>
      <c r="C77" s="1361"/>
    </row>
    <row r="78" spans="1:4" ht="15.5">
      <c r="A78" s="1374" t="s">
        <v>517</v>
      </c>
      <c r="B78" s="1359"/>
      <c r="C78" s="1359"/>
      <c r="D78"/>
    </row>
    <row r="79" spans="1:4" ht="15.5">
      <c r="A79" s="1374" t="s">
        <v>518</v>
      </c>
      <c r="B79" s="1359"/>
      <c r="C79" s="1359"/>
      <c r="D79"/>
    </row>
    <row r="80" spans="1:4" ht="15.5">
      <c r="A80" s="1359"/>
      <c r="B80" s="1359"/>
      <c r="C80" s="1359"/>
      <c r="D80"/>
    </row>
    <row r="81" spans="1:4" ht="15.5">
      <c r="A81" s="1359"/>
      <c r="B81" s="1371" t="s">
        <v>900</v>
      </c>
      <c r="C81" s="1371">
        <v>1050.03</v>
      </c>
      <c r="D81"/>
    </row>
    <row r="82" spans="1:4" ht="15.5">
      <c r="A82" s="1359"/>
      <c r="B82" s="1359"/>
      <c r="C82" s="1372">
        <v>15</v>
      </c>
      <c r="D82"/>
    </row>
    <row r="83" spans="1:4" ht="15.5">
      <c r="A83" s="1374" t="s">
        <v>901</v>
      </c>
      <c r="B83" s="1359"/>
      <c r="C83" s="1361"/>
      <c r="D83"/>
    </row>
    <row r="84" spans="1:4">
      <c r="A84" s="1361"/>
      <c r="B84" s="1361"/>
      <c r="C84" s="1361"/>
    </row>
    <row r="85" spans="1:4">
      <c r="A85" s="1361"/>
      <c r="B85" s="1361"/>
      <c r="C85" s="1371">
        <f>SUM(C81:C83)</f>
        <v>1065.03</v>
      </c>
    </row>
    <row r="86" spans="1:4">
      <c r="A86" s="1361"/>
      <c r="B86" s="1361"/>
      <c r="C86" s="1361"/>
    </row>
    <row r="87" spans="1:4">
      <c r="A87" s="1361"/>
      <c r="B87" s="1361"/>
      <c r="C87" s="1361"/>
    </row>
    <row r="88" spans="1:4">
      <c r="A88" s="1361"/>
      <c r="B88" s="1361"/>
      <c r="C88" s="1361"/>
    </row>
    <row r="89" spans="1:4">
      <c r="A89" s="1358" t="s">
        <v>517</v>
      </c>
      <c r="B89" s="1359"/>
      <c r="C89" s="1359"/>
    </row>
    <row r="90" spans="1:4" ht="15.5">
      <c r="A90" s="1358" t="s">
        <v>518</v>
      </c>
      <c r="B90" s="1358"/>
      <c r="C90" s="1359"/>
      <c r="D90"/>
    </row>
    <row r="91" spans="1:4" ht="15.5">
      <c r="A91" s="1359"/>
      <c r="B91" s="1358" t="s">
        <v>518</v>
      </c>
      <c r="C91" s="1360"/>
      <c r="D91"/>
    </row>
    <row r="92" spans="1:4" ht="15.5">
      <c r="A92" s="1359"/>
      <c r="B92" s="1359"/>
      <c r="C92" s="1360"/>
      <c r="D92"/>
    </row>
    <row r="93" spans="1:4">
      <c r="A93" s="1361"/>
      <c r="B93" s="1362" t="s">
        <v>916</v>
      </c>
      <c r="C93" s="1363">
        <v>2084.7800000000002</v>
      </c>
    </row>
    <row r="94" spans="1:4">
      <c r="A94" s="1361"/>
      <c r="B94" s="1361" t="s">
        <v>933</v>
      </c>
      <c r="C94" s="1364">
        <v>15</v>
      </c>
    </row>
    <row r="95" spans="1:4">
      <c r="A95" s="1361"/>
      <c r="B95" s="1361"/>
      <c r="C95" s="1365"/>
    </row>
    <row r="96" spans="1:4">
      <c r="A96" s="1361"/>
      <c r="B96" s="1361"/>
      <c r="C96" s="1363">
        <f>SUM(C93:C95)</f>
        <v>2099.7800000000002</v>
      </c>
    </row>
    <row r="97" spans="1:3">
      <c r="A97" s="1361"/>
      <c r="B97" s="1361"/>
      <c r="C97" s="1366"/>
    </row>
    <row r="98" spans="1:3">
      <c r="A98" s="1361"/>
      <c r="B98" s="1361" t="s">
        <v>927</v>
      </c>
      <c r="C98" s="1363">
        <f>SUM(A99:A101)</f>
        <v>25677</v>
      </c>
    </row>
    <row r="99" spans="1:3">
      <c r="A99" s="1367">
        <v>6000</v>
      </c>
      <c r="B99" s="1368" t="s">
        <v>577</v>
      </c>
      <c r="C99" s="1366"/>
    </row>
    <row r="100" spans="1:3">
      <c r="A100" s="1367">
        <v>3333</v>
      </c>
      <c r="B100" s="1368" t="s">
        <v>578</v>
      </c>
      <c r="C100" s="1366"/>
    </row>
    <row r="101" spans="1:3">
      <c r="A101" s="1367">
        <v>16344</v>
      </c>
      <c r="B101" s="1368" t="s">
        <v>579</v>
      </c>
      <c r="C101" s="1366"/>
    </row>
    <row r="102" spans="1:3">
      <c r="A102" s="1361"/>
      <c r="B102" s="1361"/>
      <c r="C102" s="1366"/>
    </row>
    <row r="103" spans="1:3">
      <c r="A103" s="1361"/>
      <c r="B103" s="1361" t="s">
        <v>928</v>
      </c>
      <c r="C103" s="1363">
        <f>-SUM(A104:A109)</f>
        <v>-26966.44</v>
      </c>
    </row>
    <row r="104" spans="1:3">
      <c r="A104" s="1367">
        <v>14165.99</v>
      </c>
      <c r="B104" s="1368" t="s">
        <v>929</v>
      </c>
      <c r="C104" s="1366"/>
    </row>
    <row r="105" spans="1:3">
      <c r="A105" s="1367">
        <v>6847.72</v>
      </c>
      <c r="B105" s="1368" t="s">
        <v>930</v>
      </c>
      <c r="C105" s="1361"/>
    </row>
    <row r="106" spans="1:3">
      <c r="A106" s="1367">
        <v>2783.3399999999997</v>
      </c>
      <c r="B106" s="1368" t="s">
        <v>931</v>
      </c>
      <c r="C106" s="1361"/>
    </row>
    <row r="107" spans="1:3">
      <c r="A107" s="1367">
        <v>3169.39</v>
      </c>
      <c r="B107" s="1368" t="s">
        <v>932</v>
      </c>
      <c r="C107" s="1369"/>
    </row>
    <row r="108" spans="1:3">
      <c r="A108" s="1367"/>
      <c r="B108" s="1368"/>
      <c r="C108" s="1370"/>
    </row>
    <row r="109" spans="1:3">
      <c r="A109" s="1361"/>
      <c r="B109" s="1368" t="s">
        <v>934</v>
      </c>
      <c r="C109" s="1363">
        <f>SUM(C96:C107)</f>
        <v>810.34000000000015</v>
      </c>
    </row>
    <row r="111" spans="1:3" ht="15" thickBot="1"/>
    <row r="112" spans="1:3" ht="20">
      <c r="A112" s="1340" t="s">
        <v>517</v>
      </c>
      <c r="B112" s="891"/>
      <c r="C112" s="892"/>
    </row>
    <row r="113" spans="1:6" ht="20">
      <c r="A113" s="1341" t="s">
        <v>518</v>
      </c>
      <c r="B113" s="1342"/>
      <c r="C113" s="894"/>
    </row>
    <row r="114" spans="1:6" ht="20">
      <c r="A114" s="893"/>
      <c r="B114" s="1342"/>
      <c r="C114" s="1343"/>
    </row>
    <row r="115" spans="1:6" ht="15.5">
      <c r="A115" s="893"/>
      <c r="B115" s="177"/>
      <c r="C115" s="1343"/>
    </row>
    <row r="116" spans="1:6" ht="15.5">
      <c r="A116" s="536"/>
      <c r="B116" s="1344" t="s">
        <v>961</v>
      </c>
      <c r="C116" s="1345">
        <v>28372.51</v>
      </c>
    </row>
    <row r="117" spans="1:6" s="1262" customFormat="1" ht="15.5">
      <c r="A117" s="536"/>
      <c r="B117" s="1346" t="s">
        <v>962</v>
      </c>
      <c r="C117" s="1345"/>
      <c r="E117" s="551"/>
    </row>
    <row r="118" spans="1:6" ht="15.5">
      <c r="A118" s="536"/>
      <c r="B118" s="1347" t="s">
        <v>933</v>
      </c>
      <c r="C118" s="1296">
        <v>15</v>
      </c>
    </row>
    <row r="119" spans="1:6">
      <c r="A119" s="536"/>
      <c r="B119" s="535"/>
      <c r="C119" s="1348"/>
    </row>
    <row r="120" spans="1:6" ht="15.5">
      <c r="A120" s="536"/>
      <c r="B120" s="535"/>
      <c r="C120" s="1345">
        <f>SUM(C116:C119)</f>
        <v>28387.51</v>
      </c>
      <c r="D120" s="551">
        <f>'3 COMPTA'!F8</f>
        <v>11230.994000000001</v>
      </c>
      <c r="E120" s="1293">
        <f>C120-D120</f>
        <v>17156.515999999996</v>
      </c>
    </row>
    <row r="121" spans="1:6">
      <c r="A121" s="536"/>
      <c r="B121" s="535"/>
      <c r="C121" s="1296"/>
    </row>
    <row r="122" spans="1:6" ht="15.5">
      <c r="A122" s="536"/>
      <c r="B122" s="1349" t="s">
        <v>927</v>
      </c>
      <c r="C122" s="1345">
        <f>SUM(A123:A125)</f>
        <v>16344</v>
      </c>
    </row>
    <row r="123" spans="1:6" ht="15.5">
      <c r="A123" s="1236"/>
      <c r="B123" s="1237" t="s">
        <v>577</v>
      </c>
      <c r="C123" s="1296"/>
    </row>
    <row r="124" spans="1:6" ht="15.5">
      <c r="A124" s="1236"/>
      <c r="B124" s="1237" t="s">
        <v>578</v>
      </c>
      <c r="C124" s="1296"/>
    </row>
    <row r="125" spans="1:6" ht="15.5">
      <c r="A125" s="1236">
        <v>16344</v>
      </c>
      <c r="B125" s="1237" t="s">
        <v>579</v>
      </c>
      <c r="C125" s="1296"/>
    </row>
    <row r="126" spans="1:6" ht="15" thickBot="1">
      <c r="A126" s="536"/>
      <c r="B126" s="535"/>
      <c r="C126" s="1296"/>
    </row>
    <row r="127" spans="1:6" ht="15.5">
      <c r="A127" s="536"/>
      <c r="B127" s="1349" t="s">
        <v>928</v>
      </c>
      <c r="C127" s="1350">
        <f>-SUM(A128:A131)</f>
        <v>-15099.11</v>
      </c>
      <c r="E127" s="1304">
        <v>169.4</v>
      </c>
      <c r="F127" s="533" t="s">
        <v>966</v>
      </c>
    </row>
    <row r="128" spans="1:6" ht="15.5">
      <c r="A128" s="1236">
        <v>5082</v>
      </c>
      <c r="B128" s="1237" t="s">
        <v>929</v>
      </c>
      <c r="C128" s="1296"/>
      <c r="E128" s="1295">
        <v>685.27</v>
      </c>
      <c r="F128" s="1296" t="s">
        <v>863</v>
      </c>
    </row>
    <row r="129" spans="1:6" ht="15.5">
      <c r="A129" s="1351">
        <v>6847.72</v>
      </c>
      <c r="B129" s="1300" t="s">
        <v>930</v>
      </c>
      <c r="C129" s="1298"/>
      <c r="E129" s="1295">
        <v>81.06</v>
      </c>
      <c r="F129" s="1296" t="s">
        <v>865</v>
      </c>
    </row>
    <row r="130" spans="1:6" ht="15.5">
      <c r="A130" s="1352"/>
      <c r="B130" s="1305" t="s">
        <v>931</v>
      </c>
      <c r="C130" s="1298"/>
      <c r="E130" s="1295">
        <v>420</v>
      </c>
      <c r="F130" s="1296" t="s">
        <v>865</v>
      </c>
    </row>
    <row r="131" spans="1:6" ht="15.5">
      <c r="A131" s="1353">
        <v>3169.39</v>
      </c>
      <c r="B131" s="1307" t="s">
        <v>932</v>
      </c>
      <c r="C131" s="1298"/>
      <c r="E131" s="1295">
        <v>392</v>
      </c>
      <c r="F131" s="1296" t="s">
        <v>867</v>
      </c>
    </row>
    <row r="132" spans="1:6" s="1262" customFormat="1" ht="15.5">
      <c r="A132" s="1236">
        <v>27000</v>
      </c>
      <c r="B132" s="1237" t="s">
        <v>969</v>
      </c>
      <c r="C132" s="1350">
        <f>-A132+'3 COMPTA'!H852</f>
        <v>-26973.24</v>
      </c>
      <c r="E132" s="1295">
        <v>80</v>
      </c>
      <c r="F132" s="1296" t="s">
        <v>867</v>
      </c>
    </row>
    <row r="133" spans="1:6" ht="15.5">
      <c r="A133" s="1236"/>
      <c r="B133" s="1237"/>
      <c r="C133" s="1354"/>
      <c r="E133" s="1297">
        <v>5020</v>
      </c>
      <c r="F133" s="1298" t="s">
        <v>965</v>
      </c>
    </row>
    <row r="134" spans="1:6" ht="16" thickBot="1">
      <c r="A134" s="1355"/>
      <c r="B134" s="1356" t="s">
        <v>935</v>
      </c>
      <c r="C134" s="1357">
        <f>SUM(C120:C132)</f>
        <v>2659.1599999999926</v>
      </c>
      <c r="E134" s="1301">
        <f>SUM(E127:E133)</f>
        <v>6847.73</v>
      </c>
      <c r="F134" s="1299"/>
    </row>
    <row r="135" spans="1:6" ht="15" thickBot="1"/>
    <row r="136" spans="1:6">
      <c r="C136" s="551"/>
      <c r="E136" s="1304">
        <v>451.58</v>
      </c>
      <c r="F136" s="533" t="s">
        <v>967</v>
      </c>
    </row>
    <row r="137" spans="1:6">
      <c r="E137" s="1295">
        <f>A130-E136</f>
        <v>-451.58</v>
      </c>
      <c r="F137" s="1298"/>
    </row>
    <row r="138" spans="1:6">
      <c r="E138" s="1295"/>
      <c r="F138" s="1298"/>
    </row>
    <row r="139" spans="1:6" ht="15" thickBot="1">
      <c r="E139" s="1306">
        <f>SUM(E136:E138)</f>
        <v>0</v>
      </c>
      <c r="F139" s="1299"/>
    </row>
    <row r="141" spans="1:6">
      <c r="E141" s="1308">
        <v>3000</v>
      </c>
      <c r="F141" s="1309" t="s">
        <v>965</v>
      </c>
    </row>
    <row r="142" spans="1:6">
      <c r="E142" s="1310">
        <v>169.69</v>
      </c>
      <c r="F142" s="1311" t="s">
        <v>968</v>
      </c>
    </row>
    <row r="143" spans="1:6">
      <c r="E143" s="1313">
        <f>SUM(E141:E142)</f>
        <v>3169.69</v>
      </c>
      <c r="F143" s="1312"/>
    </row>
  </sheetData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CHIFFRES LETTRE INFO</vt:lpstr>
      <vt:lpstr>0 BUDGETS 2425</vt:lpstr>
      <vt:lpstr>0B budget financier 2024</vt:lpstr>
      <vt:lpstr>Eau potable V1</vt:lpstr>
      <vt:lpstr>COMPTES FONCTIONNEMENT</vt:lpstr>
      <vt:lpstr>1 1 BILAN ECOSAN</vt:lpstr>
      <vt:lpstr>ECOSAN DEF</vt:lpstr>
      <vt:lpstr>1 BILAN PAR PROJET 2024</vt:lpstr>
      <vt:lpstr>2 CODIFICATION</vt:lpstr>
      <vt:lpstr>3 COMPTA</vt:lpstr>
      <vt:lpstr>RAPPRO</vt:lpstr>
      <vt:lpstr>'3 COMPTA'!_gjdgxs</vt:lpstr>
      <vt:lpstr>'0 BUDGETS 2425'!Zone_d_impression</vt:lpstr>
      <vt:lpstr>'0B budget financier 2024'!Zone_d_impression</vt:lpstr>
      <vt:lpstr>'1 1 BILAN ECOSAN'!Zone_d_impression</vt:lpstr>
      <vt:lpstr>'1 BILAN PAR PROJET 2024'!Zone_d_impression</vt:lpstr>
      <vt:lpstr>'3 COMPTA'!Zone_d_impression</vt:lpstr>
      <vt:lpstr>'CHIFFRES LETTRE INFO'!Zone_d_impression</vt:lpstr>
      <vt:lpstr>'COMPTES FONCTIONNEMENT'!Zone_d_impression</vt:lpstr>
      <vt:lpstr>RAPPRO!Zone_d_impression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2017-08-22T13:47:00Z</dcterms:created>
  <dcterms:modified xsi:type="dcterms:W3CDTF">2025-01-24T19:03:10Z</dcterms:modified>
</cp:coreProperties>
</file>